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SSR)\SSR\Kommunikation\Intranätet\Taxor\2018\"/>
    </mc:Choice>
  </mc:AlternateContent>
  <xr:revisionPtr revIDLastSave="0" documentId="8_{476E7AFC-BB6E-477C-8D22-0C9E983A859F}" xr6:coauthVersionLast="36" xr6:coauthVersionMax="36" xr10:uidLastSave="{00000000-0000-0000-0000-000000000000}"/>
  <bookViews>
    <workbookView xWindow="0" yWindow="0" windowWidth="25200" windowHeight="11775"/>
  </bookViews>
  <sheets>
    <sheet name="Övertid 2018" sheetId="2" r:id="rId1"/>
    <sheet name="OB 2018" sheetId="5" r:id="rId2"/>
    <sheet name="Lönetabell 2018" sheetId="4" r:id="rId3"/>
    <sheet name="Löneklass 110" sheetId="6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2" l="1"/>
  <c r="K10" i="2" s="1"/>
  <c r="N10" i="2" s="1"/>
  <c r="L10" i="2" s="1"/>
  <c r="M10" i="2" s="1"/>
  <c r="C10" i="2" s="1"/>
  <c r="K10" i="5"/>
  <c r="N10" i="5" s="1"/>
  <c r="L10" i="5" s="1"/>
  <c r="M10" i="5" s="1"/>
  <c r="C10" i="5" s="1"/>
  <c r="R12" i="4"/>
  <c r="S12" i="4" s="1"/>
  <c r="T12" i="4" s="1"/>
  <c r="M2" i="4"/>
  <c r="M3" i="4" s="1"/>
  <c r="J3" i="4" s="1"/>
  <c r="D7" i="4"/>
  <c r="K7" i="4" s="1"/>
  <c r="N14" i="4"/>
  <c r="O14" i="4"/>
  <c r="C14" i="4"/>
  <c r="K9" i="5"/>
  <c r="L9" i="5" s="1"/>
  <c r="M9" i="5" s="1"/>
  <c r="C9" i="4"/>
  <c r="N13" i="4"/>
  <c r="O13" i="4"/>
  <c r="C13" i="4"/>
  <c r="D13" i="4" s="1"/>
  <c r="N7" i="4"/>
  <c r="O7" i="4"/>
  <c r="C7" i="4"/>
  <c r="E7" i="4" s="1"/>
  <c r="N8" i="4"/>
  <c r="O8" i="4" s="1"/>
  <c r="C8" i="4"/>
  <c r="N9" i="4"/>
  <c r="O9" i="4"/>
  <c r="N10" i="4"/>
  <c r="O10" i="4"/>
  <c r="C10" i="4"/>
  <c r="N11" i="4"/>
  <c r="O11" i="4" s="1"/>
  <c r="C11" i="4"/>
  <c r="O12" i="4"/>
  <c r="C12" i="4"/>
  <c r="E12" i="4" s="1"/>
  <c r="D12" i="4"/>
  <c r="K12" i="4" s="1"/>
  <c r="J12" i="4"/>
  <c r="N12" i="4"/>
  <c r="D7" i="6"/>
  <c r="B24" i="5"/>
  <c r="B19" i="5"/>
  <c r="N9" i="2"/>
  <c r="B17" i="2"/>
  <c r="N9" i="5"/>
  <c r="D10" i="4"/>
  <c r="K10" i="4" s="1"/>
  <c r="E10" i="4"/>
  <c r="G10" i="4" s="1"/>
  <c r="I10" i="4" s="1"/>
  <c r="D8" i="4"/>
  <c r="K8" i="4" s="1"/>
  <c r="E8" i="4"/>
  <c r="E9" i="4"/>
  <c r="D9" i="4"/>
  <c r="E11" i="4"/>
  <c r="D11" i="4"/>
  <c r="E14" i="4"/>
  <c r="F14" i="4" s="1"/>
  <c r="H14" i="4" s="1"/>
  <c r="D14" i="4"/>
  <c r="K14" i="4" s="1"/>
  <c r="K9" i="4"/>
  <c r="J9" i="4"/>
  <c r="F8" i="4"/>
  <c r="H8" i="4" s="1"/>
  <c r="G8" i="4"/>
  <c r="I8" i="4" s="1"/>
  <c r="J11" i="4"/>
  <c r="K11" i="4"/>
  <c r="G14" i="4"/>
  <c r="I14" i="4"/>
  <c r="G11" i="4"/>
  <c r="I11" i="4"/>
  <c r="F11" i="4"/>
  <c r="H11" i="4" s="1"/>
  <c r="G9" i="4"/>
  <c r="I9" i="4"/>
  <c r="F9" i="4"/>
  <c r="H9" i="4" s="1"/>
  <c r="J8" i="4"/>
  <c r="J13" i="4" l="1"/>
  <c r="K13" i="4"/>
  <c r="F7" i="4"/>
  <c r="H7" i="4" s="1"/>
  <c r="G7" i="4"/>
  <c r="I7" i="4" s="1"/>
  <c r="F12" i="4"/>
  <c r="H12" i="4" s="1"/>
  <c r="G12" i="4"/>
  <c r="I12" i="4" s="1"/>
  <c r="U12" i="4"/>
  <c r="V12" i="4" s="1"/>
  <c r="B5" i="6" s="1"/>
  <c r="C5" i="6" s="1"/>
  <c r="C13" i="5"/>
  <c r="C18" i="5"/>
  <c r="C23" i="5"/>
  <c r="C12" i="2"/>
  <c r="C16" i="2"/>
  <c r="C17" i="2" s="1"/>
  <c r="C18" i="2" s="1"/>
  <c r="F10" i="4"/>
  <c r="H10" i="4" s="1"/>
  <c r="J10" i="4"/>
  <c r="J14" i="4"/>
  <c r="E13" i="4"/>
  <c r="J7" i="4"/>
  <c r="L9" i="2"/>
  <c r="M9" i="2" s="1"/>
  <c r="E5" i="6" l="1"/>
  <c r="D5" i="6"/>
  <c r="E18" i="2"/>
  <c r="F18" i="2"/>
  <c r="C24" i="5"/>
  <c r="C25" i="5"/>
  <c r="C19" i="5"/>
  <c r="C20" i="5"/>
  <c r="C13" i="2"/>
  <c r="C14" i="2"/>
  <c r="C9" i="5"/>
  <c r="G13" i="4"/>
  <c r="I13" i="4" s="1"/>
  <c r="C9" i="2"/>
  <c r="F13" i="4"/>
  <c r="H13" i="4" s="1"/>
  <c r="C14" i="5"/>
  <c r="C15" i="5"/>
  <c r="E15" i="5" l="1"/>
  <c r="F15" i="5"/>
  <c r="E25" i="5"/>
  <c r="F25" i="5"/>
  <c r="F20" i="5"/>
  <c r="E20" i="5"/>
  <c r="K5" i="6"/>
  <c r="J5" i="6"/>
  <c r="E14" i="2"/>
  <c r="F14" i="2"/>
  <c r="F5" i="6"/>
  <c r="H5" i="6" s="1"/>
  <c r="G5" i="6"/>
  <c r="I5" i="6" s="1"/>
</calcChain>
</file>

<file path=xl/sharedStrings.xml><?xml version="1.0" encoding="utf-8"?>
<sst xmlns="http://schemas.openxmlformats.org/spreadsheetml/2006/main" count="74" uniqueCount="51">
  <si>
    <t>Påslag</t>
  </si>
  <si>
    <t>Timlön löneklass 100 enl. lönetabell A-C</t>
  </si>
  <si>
    <t>Timlön</t>
  </si>
  <si>
    <t>Aktuella ingångsvärden förs in i celler med gul bakgrund varefter uträkning sker automatiskt</t>
  </si>
  <si>
    <t>Taxetimpris</t>
  </si>
  <si>
    <t>OB-ersättning 30 %</t>
  </si>
  <si>
    <t>30 % av timlön</t>
  </si>
  <si>
    <t>Sociala avg på 30 % av timlönen</t>
  </si>
  <si>
    <t>Påslag på aktuell timtaxa vid 30 %</t>
  </si>
  <si>
    <t>OB-ersättning 50 %</t>
  </si>
  <si>
    <t>OB-ersättning 100 %</t>
  </si>
  <si>
    <t>Påslag på aktuell timtaxa vid 50 %</t>
  </si>
  <si>
    <t>Påslag på aktuell timtaxa vid 100 %</t>
  </si>
  <si>
    <t xml:space="preserve">Beräkning av tillägg på taxetimpris vid arbete under obekväm arbetstid inkl. semesterlön och särskilda avgifter enligt lag och riksavtal med Kommunal. </t>
  </si>
  <si>
    <t>Timdebitering för föreskrivet arbete under obekväm arbetstid</t>
  </si>
  <si>
    <t>Timdebitering för föreskrivet övertidsarbete</t>
  </si>
  <si>
    <t xml:space="preserve">Beräkning av tillägg på taxetimpris vid övertidsarbete inkl. övertidstillägg, semesterlön och särskilda avgifter enligt lag och riksavtal med Kommunal. </t>
  </si>
  <si>
    <t>80 % av timlön</t>
  </si>
  <si>
    <t>Sociala avg på 80 % av timlönen</t>
  </si>
  <si>
    <t>Påslag på aktuell timtaxa vid 80 %</t>
  </si>
  <si>
    <t>130 % av timpris</t>
  </si>
  <si>
    <t>Sociala avg på 130 % av timpriset</t>
  </si>
  <si>
    <t>Påslag på aktuell timtaxa vid 130 %</t>
  </si>
  <si>
    <t>Vid beräkning av arbetstidens längd inräknas förflyttningstid till och från arbetsplatsen.</t>
  </si>
  <si>
    <t>Vid övertidsarbete räknas påbörjad halvtimme som hel halvtimme.</t>
  </si>
  <si>
    <t>Tarifflöner - arbetare</t>
  </si>
  <si>
    <t>(enligt Bilaga 2)</t>
  </si>
  <si>
    <t>Tabell a</t>
  </si>
  <si>
    <t>Löneklass</t>
  </si>
  <si>
    <t>Månadslön</t>
  </si>
  <si>
    <t>Veckolön</t>
  </si>
  <si>
    <t>Daglön</t>
  </si>
  <si>
    <t>Ordinarie</t>
  </si>
  <si>
    <t>Övertidsersättning</t>
  </si>
  <si>
    <t>Övertidstillägg vid uttag av kompledighet</t>
  </si>
  <si>
    <t>Föräldralön per dag</t>
  </si>
  <si>
    <t>Semester-dagstillägg</t>
  </si>
  <si>
    <t>M.lön / 4,33</t>
  </si>
  <si>
    <t>V.lön / 5</t>
  </si>
  <si>
    <t>V.lön / 40</t>
  </si>
  <si>
    <t>Tillägg per timme vid utförande av Brandskyddskontroll</t>
  </si>
  <si>
    <t>50 % av timlön</t>
  </si>
  <si>
    <t>100 % av timlön</t>
  </si>
  <si>
    <t>Sociala avg på 100 % av timlönen</t>
  </si>
  <si>
    <t>Sociala avg på 50 % av timlönen</t>
  </si>
  <si>
    <t>Aktuell löneklass (medianlön = 110)</t>
  </si>
  <si>
    <t>Löneökning 2017:</t>
  </si>
  <si>
    <t>Månadslön 2017 (100):</t>
  </si>
  <si>
    <t>Månadslön 2018 (100):</t>
  </si>
  <si>
    <t>Gäller från och med 1 april 2018</t>
  </si>
  <si>
    <t>Gäller från och med den 1 april 2018 till och med den 31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</si>
</sst>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kr&quot;"/>
    <numFmt numFmtId="167" formatCode="#,##0\ &quot;kr&quot;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166" fontId="2" fillId="2" borderId="0" xfId="0" applyNumberFormat="1" applyFont="1" applyFill="1" applyBorder="1" applyProtection="1"/>
    <xf numFmtId="0" fontId="4" fillId="2" borderId="0" xfId="0" applyFont="1" applyFill="1" applyProtection="1"/>
    <xf numFmtId="0" fontId="3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Protection="1"/>
    <xf numFmtId="166" fontId="0" fillId="2" borderId="0" xfId="0" applyNumberFormat="1" applyFill="1" applyProtection="1"/>
    <xf numFmtId="167" fontId="0" fillId="2" borderId="0" xfId="0" applyNumberFormat="1" applyFill="1" applyAlignment="1" applyProtection="1">
      <alignment horizontal="center"/>
    </xf>
    <xf numFmtId="9" fontId="0" fillId="2" borderId="0" xfId="0" applyNumberFormat="1" applyFill="1" applyProtection="1"/>
    <xf numFmtId="10" fontId="1" fillId="2" borderId="0" xfId="1" applyNumberFormat="1" applyFill="1" applyProtection="1"/>
    <xf numFmtId="166" fontId="2" fillId="2" borderId="0" xfId="0" applyNumberFormat="1" applyFont="1" applyFill="1" applyProtection="1"/>
    <xf numFmtId="167" fontId="2" fillId="2" borderId="0" xfId="0" applyNumberFormat="1" applyFont="1" applyFill="1" applyAlignment="1" applyProtection="1">
      <alignment horizontal="center"/>
    </xf>
    <xf numFmtId="9" fontId="2" fillId="2" borderId="0" xfId="1" applyFont="1" applyFill="1" applyAlignment="1" applyProtection="1">
      <alignment horizontal="center"/>
    </xf>
    <xf numFmtId="9" fontId="1" fillId="2" borderId="0" xfId="1" applyFill="1" applyAlignment="1" applyProtection="1">
      <alignment horizontal="center"/>
    </xf>
    <xf numFmtId="10" fontId="0" fillId="2" borderId="0" xfId="0" applyNumberFormat="1" applyFill="1" applyProtection="1"/>
    <xf numFmtId="2" fontId="0" fillId="2" borderId="0" xfId="0" applyNumberFormat="1" applyFill="1" applyProtection="1"/>
    <xf numFmtId="0" fontId="2" fillId="3" borderId="1" xfId="0" applyNumberFormat="1" applyFont="1" applyFill="1" applyBorder="1" applyProtection="1">
      <protection locked="0"/>
    </xf>
    <xf numFmtId="167" fontId="2" fillId="3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Protection="1"/>
    <xf numFmtId="9" fontId="2" fillId="2" borderId="0" xfId="1" applyNumberFormat="1" applyFont="1" applyFill="1" applyAlignment="1" applyProtection="1">
      <alignment horizontal="center"/>
    </xf>
    <xf numFmtId="9" fontId="2" fillId="2" borderId="0" xfId="0" applyNumberFormat="1" applyFont="1" applyFill="1" applyAlignment="1" applyProtection="1">
      <alignment horizontal="center"/>
    </xf>
    <xf numFmtId="0" fontId="0" fillId="2" borderId="0" xfId="0" applyFill="1" applyBorder="1" applyProtection="1"/>
    <xf numFmtId="166" fontId="0" fillId="2" borderId="0" xfId="0" applyNumberFormat="1" applyFill="1" applyBorder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center" vertic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7" fillId="2" borderId="2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8" fillId="2" borderId="4" xfId="0" applyFont="1" applyFill="1" applyBorder="1" applyAlignment="1" applyProtection="1">
      <alignment horizontal="left"/>
    </xf>
    <xf numFmtId="0" fontId="8" fillId="2" borderId="0" xfId="0" applyFont="1" applyFill="1" applyBorder="1" applyProtection="1"/>
    <xf numFmtId="0" fontId="1" fillId="4" borderId="4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left"/>
    </xf>
    <xf numFmtId="0" fontId="8" fillId="2" borderId="6" xfId="0" applyFont="1" applyFill="1" applyBorder="1" applyProtection="1"/>
    <xf numFmtId="0" fontId="0" fillId="2" borderId="6" xfId="0" applyFill="1" applyBorder="1" applyProtection="1"/>
    <xf numFmtId="0" fontId="1" fillId="4" borderId="5" xfId="0" applyFont="1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horizontal="left"/>
    </xf>
    <xf numFmtId="0" fontId="0" fillId="2" borderId="7" xfId="0" applyFill="1" applyBorder="1" applyProtection="1"/>
    <xf numFmtId="0" fontId="6" fillId="2" borderId="7" xfId="0" applyFont="1" applyFill="1" applyBorder="1" applyAlignment="1" applyProtection="1">
      <alignment horizontal="center" vertical="top" wrapText="1"/>
    </xf>
    <xf numFmtId="0" fontId="9" fillId="2" borderId="8" xfId="0" applyFont="1" applyFill="1" applyBorder="1" applyAlignment="1" applyProtection="1">
      <alignment horizontal="center" vertical="top" wrapText="1"/>
    </xf>
    <xf numFmtId="0" fontId="9" fillId="2" borderId="0" xfId="0" applyFont="1" applyFill="1" applyProtection="1"/>
    <xf numFmtId="0" fontId="9" fillId="2" borderId="7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top"/>
    </xf>
    <xf numFmtId="0" fontId="9" fillId="2" borderId="9" xfId="0" applyFont="1" applyFill="1" applyBorder="1" applyAlignment="1" applyProtection="1">
      <alignment horizontal="center" vertical="top"/>
    </xf>
    <xf numFmtId="9" fontId="9" fillId="2" borderId="10" xfId="0" applyNumberFormat="1" applyFont="1" applyFill="1" applyBorder="1" applyAlignment="1" applyProtection="1">
      <alignment horizontal="center" vertical="top"/>
    </xf>
    <xf numFmtId="9" fontId="9" fillId="2" borderId="9" xfId="0" applyNumberFormat="1" applyFont="1" applyFill="1" applyBorder="1" applyAlignment="1" applyProtection="1">
      <alignment horizontal="center" vertical="top"/>
    </xf>
    <xf numFmtId="9" fontId="9" fillId="2" borderId="0" xfId="0" applyNumberFormat="1" applyFont="1" applyFill="1" applyBorder="1" applyAlignment="1" applyProtection="1">
      <alignment horizontal="center" vertical="top"/>
    </xf>
    <xf numFmtId="9" fontId="9" fillId="2" borderId="7" xfId="0" applyNumberFormat="1" applyFont="1" applyFill="1" applyBorder="1" applyAlignment="1" applyProtection="1">
      <alignment horizontal="center" vertical="top"/>
    </xf>
    <xf numFmtId="0" fontId="9" fillId="2" borderId="0" xfId="0" applyFont="1" applyFill="1" applyAlignment="1" applyProtection="1">
      <alignment vertical="center"/>
    </xf>
    <xf numFmtId="0" fontId="0" fillId="2" borderId="11" xfId="0" applyFont="1" applyFill="1" applyBorder="1" applyAlignment="1" applyProtection="1">
      <alignment horizontal="center" vertical="center"/>
    </xf>
    <xf numFmtId="2" fontId="0" fillId="2" borderId="11" xfId="0" applyNumberFormat="1" applyFont="1" applyFill="1" applyBorder="1" applyAlignment="1" applyProtection="1">
      <alignment horizontal="center" vertical="center"/>
    </xf>
    <xf numFmtId="2" fontId="0" fillId="2" borderId="12" xfId="0" applyNumberFormat="1" applyFont="1" applyFill="1" applyBorder="1" applyAlignment="1" applyProtection="1">
      <alignment horizontal="center" vertical="center"/>
    </xf>
    <xf numFmtId="2" fontId="0" fillId="2" borderId="13" xfId="0" applyNumberFormat="1" applyFont="1" applyFill="1" applyBorder="1" applyAlignment="1" applyProtection="1">
      <alignment horizontal="center" vertical="center"/>
    </xf>
    <xf numFmtId="2" fontId="0" fillId="2" borderId="14" xfId="0" applyNumberFormat="1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2" fontId="0" fillId="2" borderId="15" xfId="0" applyNumberFormat="1" applyFont="1" applyFill="1" applyBorder="1" applyAlignment="1" applyProtection="1">
      <alignment horizontal="center" vertical="center"/>
    </xf>
    <xf numFmtId="2" fontId="0" fillId="2" borderId="16" xfId="0" applyNumberFormat="1" applyFont="1" applyFill="1" applyBorder="1" applyAlignment="1" applyProtection="1">
      <alignment horizontal="center" vertical="center"/>
    </xf>
    <xf numFmtId="2" fontId="0" fillId="2" borderId="17" xfId="0" applyNumberFormat="1" applyFont="1" applyFill="1" applyBorder="1" applyAlignment="1" applyProtection="1">
      <alignment horizontal="center" vertical="center"/>
    </xf>
    <xf numFmtId="2" fontId="0" fillId="2" borderId="18" xfId="0" applyNumberFormat="1" applyFont="1" applyFill="1" applyBorder="1" applyAlignment="1" applyProtection="1">
      <alignment horizontal="center" vertical="center"/>
    </xf>
    <xf numFmtId="2" fontId="0" fillId="2" borderId="19" xfId="0" applyNumberFormat="1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0" fillId="2" borderId="20" xfId="0" applyFont="1" applyFill="1" applyBorder="1" applyProtection="1"/>
    <xf numFmtId="0" fontId="0" fillId="2" borderId="5" xfId="0" applyFont="1" applyFill="1" applyBorder="1" applyAlignment="1" applyProtection="1">
      <alignment horizontal="left" vertical="center"/>
    </xf>
    <xf numFmtId="0" fontId="0" fillId="2" borderId="6" xfId="0" applyFont="1" applyFill="1" applyBorder="1" applyAlignment="1" applyProtection="1">
      <alignment vertical="center"/>
    </xf>
    <xf numFmtId="2" fontId="0" fillId="2" borderId="6" xfId="0" applyNumberFormat="1" applyFont="1" applyFill="1" applyBorder="1" applyAlignment="1" applyProtection="1">
      <alignment vertical="center"/>
    </xf>
    <xf numFmtId="0" fontId="0" fillId="2" borderId="21" xfId="0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left"/>
    </xf>
    <xf numFmtId="1" fontId="0" fillId="2" borderId="11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Protection="1"/>
    <xf numFmtId="0" fontId="11" fillId="2" borderId="0" xfId="0" applyFont="1" applyFill="1" applyProtection="1"/>
    <xf numFmtId="0" fontId="9" fillId="2" borderId="8" xfId="0" applyFont="1" applyFill="1" applyBorder="1" applyAlignment="1" applyProtection="1">
      <alignment horizontal="center" vertical="top" wrapText="1"/>
    </xf>
    <xf numFmtId="1" fontId="0" fillId="2" borderId="15" xfId="0" applyNumberFormat="1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left"/>
    </xf>
    <xf numFmtId="0" fontId="0" fillId="2" borderId="22" xfId="0" applyFill="1" applyBorder="1" applyProtection="1"/>
    <xf numFmtId="0" fontId="9" fillId="2" borderId="23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top"/>
    </xf>
    <xf numFmtId="0" fontId="9" fillId="2" borderId="24" xfId="0" applyFont="1" applyFill="1" applyBorder="1" applyAlignment="1" applyProtection="1">
      <alignment horizontal="center" vertical="top"/>
    </xf>
    <xf numFmtId="9" fontId="9" fillId="2" borderId="25" xfId="0" applyNumberFormat="1" applyFont="1" applyFill="1" applyBorder="1" applyAlignment="1" applyProtection="1">
      <alignment horizontal="center" vertical="top"/>
    </xf>
    <xf numFmtId="9" fontId="9" fillId="2" borderId="24" xfId="0" applyNumberFormat="1" applyFont="1" applyFill="1" applyBorder="1" applyAlignment="1" applyProtection="1">
      <alignment horizontal="center" vertical="top"/>
    </xf>
    <xf numFmtId="9" fontId="9" fillId="2" borderId="6" xfId="0" applyNumberFormat="1" applyFont="1" applyFill="1" applyBorder="1" applyAlignment="1" applyProtection="1">
      <alignment horizontal="center" vertical="top"/>
    </xf>
    <xf numFmtId="9" fontId="9" fillId="2" borderId="23" xfId="0" applyNumberFormat="1" applyFont="1" applyFill="1" applyBorder="1" applyAlignment="1" applyProtection="1">
      <alignment horizontal="center" vertical="top"/>
    </xf>
    <xf numFmtId="0" fontId="0" fillId="2" borderId="1" xfId="0" applyFont="1" applyFill="1" applyBorder="1" applyAlignment="1" applyProtection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1" fontId="1" fillId="2" borderId="0" xfId="0" applyNumberFormat="1" applyFont="1" applyFill="1" applyBorder="1" applyAlignment="1" applyProtection="1">
      <alignment horizontal="center" vertical="center"/>
    </xf>
    <xf numFmtId="2" fontId="1" fillId="2" borderId="0" xfId="0" applyNumberFormat="1" applyFont="1" applyFill="1" applyBorder="1" applyProtection="1"/>
    <xf numFmtId="166" fontId="2" fillId="2" borderId="0" xfId="0" applyNumberFormat="1" applyFont="1" applyFill="1" applyAlignment="1" applyProtection="1">
      <alignment horizontal="center"/>
    </xf>
    <xf numFmtId="166" fontId="1" fillId="2" borderId="0" xfId="0" applyNumberFormat="1" applyFont="1" applyFill="1" applyBorder="1" applyProtection="1"/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Protection="1"/>
    <xf numFmtId="166" fontId="13" fillId="2" borderId="0" xfId="0" applyNumberFormat="1" applyFont="1" applyFill="1" applyAlignment="1" applyProtection="1">
      <alignment vertical="center"/>
    </xf>
    <xf numFmtId="0" fontId="0" fillId="2" borderId="4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3" borderId="26" xfId="0" applyFill="1" applyBorder="1" applyAlignment="1" applyProtection="1"/>
    <xf numFmtId="0" fontId="0" fillId="3" borderId="27" xfId="0" applyFill="1" applyBorder="1" applyAlignment="1" applyProtection="1"/>
    <xf numFmtId="0" fontId="0" fillId="3" borderId="28" xfId="0" applyFill="1" applyBorder="1" applyAlignment="1" applyProtection="1"/>
    <xf numFmtId="0" fontId="1" fillId="2" borderId="4" xfId="0" applyFont="1" applyFill="1" applyBorder="1" applyAlignment="1" applyProtection="1">
      <alignment horizontal="left" wrapText="1"/>
    </xf>
    <xf numFmtId="166" fontId="0" fillId="4" borderId="3" xfId="0" applyNumberFormat="1" applyFill="1" applyBorder="1" applyAlignment="1" applyProtection="1">
      <alignment horizontal="right" vertical="center" indent="3"/>
    </xf>
    <xf numFmtId="166" fontId="0" fillId="4" borderId="29" xfId="0" applyNumberFormat="1" applyFill="1" applyBorder="1" applyAlignment="1" applyProtection="1">
      <alignment horizontal="right" vertical="center" indent="3"/>
    </xf>
    <xf numFmtId="10" fontId="5" fillId="4" borderId="0" xfId="1" applyNumberFormat="1" applyFont="1" applyFill="1" applyBorder="1" applyAlignment="1" applyProtection="1">
      <alignment horizontal="right" vertical="center" indent="3"/>
    </xf>
    <xf numFmtId="10" fontId="5" fillId="4" borderId="20" xfId="1" applyNumberFormat="1" applyFont="1" applyFill="1" applyBorder="1" applyAlignment="1" applyProtection="1">
      <alignment horizontal="right" vertical="center" indent="3"/>
    </xf>
    <xf numFmtId="166" fontId="0" fillId="4" borderId="6" xfId="0" applyNumberFormat="1" applyFill="1" applyBorder="1" applyAlignment="1" applyProtection="1">
      <alignment horizontal="right" vertical="center" indent="3"/>
    </xf>
    <xf numFmtId="166" fontId="0" fillId="4" borderId="21" xfId="0" applyNumberFormat="1" applyFill="1" applyBorder="1" applyAlignment="1" applyProtection="1">
      <alignment horizontal="right" vertical="center" indent="3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top" wrapText="1"/>
    </xf>
    <xf numFmtId="0" fontId="9" fillId="2" borderId="8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zoomScaleNormal="100" workbookViewId="0">
      <selection activeCell="B27" sqref="B27"/>
    </sheetView>
  </sheetViews>
  <sheetFormatPr defaultRowHeight="12.75" x14ac:dyDescent="0.2"/>
  <cols>
    <col min="1" max="1" width="33" style="4" customWidth="1"/>
    <col min="2" max="2" width="11.42578125" style="4" customWidth="1"/>
    <col min="3" max="3" width="12.5703125" style="4" bestFit="1" customWidth="1"/>
    <col min="4" max="4" width="18.85546875" style="4" customWidth="1"/>
    <col min="5" max="5" width="11.42578125" style="4" customWidth="1"/>
    <col min="6" max="6" width="8.5703125" style="4" customWidth="1"/>
    <col min="7" max="8" width="9.140625" style="4"/>
    <col min="9" max="10" width="9.140625" style="4" customWidth="1"/>
    <col min="11" max="11" width="12.28515625" style="4" hidden="1" customWidth="1"/>
    <col min="12" max="14" width="9.140625" style="4" hidden="1" customWidth="1"/>
    <col min="15" max="15" width="9.140625" style="4" customWidth="1"/>
    <col min="16" max="16384" width="9.140625" style="4"/>
  </cols>
  <sheetData>
    <row r="1" spans="1:19" ht="20.25" x14ac:dyDescent="0.3">
      <c r="A1" s="2" t="s">
        <v>15</v>
      </c>
      <c r="B1" s="3"/>
    </row>
    <row r="2" spans="1:19" x14ac:dyDescent="0.2">
      <c r="A2" s="20" t="s">
        <v>50</v>
      </c>
    </row>
    <row r="4" spans="1:19" x14ac:dyDescent="0.2">
      <c r="A4" s="103" t="s">
        <v>3</v>
      </c>
      <c r="B4" s="104"/>
      <c r="C4" s="104"/>
      <c r="D4" s="105"/>
    </row>
    <row r="5" spans="1:19" x14ac:dyDescent="0.2">
      <c r="H5" s="77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9" ht="39" customHeight="1" x14ac:dyDescent="0.2">
      <c r="A6" s="101" t="s">
        <v>16</v>
      </c>
      <c r="B6" s="102"/>
      <c r="C6" s="102"/>
      <c r="D6" s="102"/>
      <c r="H6" s="77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9" x14ac:dyDescent="0.2">
      <c r="H7" s="77"/>
      <c r="I7" s="20"/>
      <c r="J7" s="28"/>
      <c r="K7" s="26"/>
      <c r="L7" s="27"/>
      <c r="M7" s="28"/>
      <c r="N7" s="28"/>
      <c r="O7" s="28"/>
      <c r="P7" s="28"/>
      <c r="Q7" s="28"/>
      <c r="R7" s="28"/>
      <c r="S7" s="24"/>
    </row>
    <row r="8" spans="1:19" x14ac:dyDescent="0.2">
      <c r="C8" s="5" t="s">
        <v>2</v>
      </c>
      <c r="D8" s="6"/>
      <c r="E8" s="5" t="s">
        <v>4</v>
      </c>
      <c r="F8" s="7" t="s">
        <v>0</v>
      </c>
      <c r="H8" s="77"/>
      <c r="I8" s="20"/>
      <c r="J8" s="28"/>
      <c r="K8" s="26"/>
      <c r="L8" s="27"/>
      <c r="M8" s="28"/>
      <c r="N8" s="28"/>
      <c r="O8" s="28"/>
      <c r="P8" s="28"/>
      <c r="Q8" s="28"/>
      <c r="R8" s="28"/>
      <c r="S8" s="23"/>
    </row>
    <row r="9" spans="1:19" x14ac:dyDescent="0.2">
      <c r="A9" s="4" t="s">
        <v>1</v>
      </c>
      <c r="C9" s="1">
        <f>('Lönetabell 2018'!E13)</f>
        <v>146.35103926096997</v>
      </c>
      <c r="E9" s="19">
        <v>400</v>
      </c>
      <c r="H9" s="77"/>
      <c r="I9" s="20"/>
      <c r="J9" s="28"/>
      <c r="K9" s="26">
        <f>SUM('Lönetabell 2018'!J1:K1)</f>
        <v>24826</v>
      </c>
      <c r="L9" s="94">
        <f>ROUND(K9/4.33,0)</f>
        <v>5733</v>
      </c>
      <c r="M9" s="95">
        <f>(L9/40)</f>
        <v>143.32499999999999</v>
      </c>
      <c r="N9" s="28">
        <f>SUM('Lönetabell 2018'!J2:K2)</f>
        <v>2.1000000000000001E-2</v>
      </c>
      <c r="O9" s="28"/>
      <c r="P9" s="28"/>
      <c r="Q9" s="28"/>
      <c r="R9" s="28"/>
      <c r="S9" s="23"/>
    </row>
    <row r="10" spans="1:19" x14ac:dyDescent="0.2">
      <c r="A10" s="20" t="s">
        <v>45</v>
      </c>
      <c r="B10" s="18">
        <v>110</v>
      </c>
      <c r="C10" s="8">
        <f>(M10)</f>
        <v>159.63999999999999</v>
      </c>
      <c r="E10" s="9"/>
      <c r="H10" s="77"/>
      <c r="I10" s="20"/>
      <c r="J10" s="28"/>
      <c r="K10" s="27">
        <f>SUM((((K9-2270)*(B10/100))+2270)*1.021)</f>
        <v>27650.313600000001</v>
      </c>
      <c r="L10" s="94">
        <f>SUM(N10/4.33)</f>
        <v>6385.7537182448041</v>
      </c>
      <c r="M10" s="95">
        <f>ROUND((L10/40),2)</f>
        <v>159.63999999999999</v>
      </c>
      <c r="N10" s="28">
        <f>IF(K10&lt;24000,SUM(K10*1.001),K10)</f>
        <v>27650.313600000001</v>
      </c>
      <c r="O10" s="28"/>
      <c r="P10" s="28"/>
      <c r="Q10" s="28"/>
      <c r="R10" s="28"/>
      <c r="S10" s="23"/>
    </row>
    <row r="11" spans="1:19" x14ac:dyDescent="0.2">
      <c r="C11" s="8"/>
      <c r="E11" s="9"/>
      <c r="H11" s="77"/>
      <c r="I11" s="28"/>
      <c r="J11" s="28"/>
      <c r="K11" s="26"/>
      <c r="L11" s="27"/>
      <c r="M11" s="28"/>
      <c r="N11" s="28"/>
      <c r="O11" s="28"/>
      <c r="P11" s="28"/>
      <c r="Q11" s="28"/>
      <c r="R11" s="28"/>
      <c r="S11" s="23"/>
    </row>
    <row r="12" spans="1:19" x14ac:dyDescent="0.2">
      <c r="A12" s="4" t="s">
        <v>17</v>
      </c>
      <c r="B12" s="10">
        <v>0.8</v>
      </c>
      <c r="C12" s="8">
        <f>+C10*0.8</f>
        <v>127.71199999999999</v>
      </c>
      <c r="E12" s="9"/>
      <c r="H12" s="77"/>
      <c r="I12" s="20"/>
      <c r="J12" s="28"/>
      <c r="K12" s="26"/>
      <c r="L12" s="27"/>
      <c r="M12" s="28"/>
      <c r="N12" s="28"/>
      <c r="O12" s="28"/>
      <c r="P12" s="28"/>
      <c r="Q12" s="28"/>
      <c r="R12" s="28"/>
      <c r="S12" s="23"/>
    </row>
    <row r="13" spans="1:19" x14ac:dyDescent="0.2">
      <c r="A13" s="4" t="s">
        <v>18</v>
      </c>
      <c r="B13" s="11">
        <v>0.31419999999999998</v>
      </c>
      <c r="C13" s="8">
        <f>+C12*B13</f>
        <v>40.127110399999992</v>
      </c>
      <c r="E13" s="9"/>
      <c r="H13" s="77"/>
      <c r="I13" s="20"/>
      <c r="J13" s="28"/>
      <c r="K13" s="26"/>
      <c r="L13" s="27"/>
      <c r="M13" s="28"/>
      <c r="N13" s="28"/>
      <c r="O13" s="28"/>
      <c r="P13" s="28"/>
      <c r="Q13" s="28"/>
      <c r="R13" s="28"/>
      <c r="S13" s="23"/>
    </row>
    <row r="14" spans="1:19" x14ac:dyDescent="0.2">
      <c r="A14" s="7" t="s">
        <v>19</v>
      </c>
      <c r="B14" s="11"/>
      <c r="C14" s="12">
        <f>+C12+C13</f>
        <v>167.83911039999998</v>
      </c>
      <c r="E14" s="96">
        <f>SUM(E9+C14)</f>
        <v>567.83911039999998</v>
      </c>
      <c r="F14" s="21">
        <f>+C14/E9</f>
        <v>0.41959777599999998</v>
      </c>
      <c r="H14" s="77"/>
      <c r="I14" s="20"/>
      <c r="J14" s="28"/>
      <c r="K14" s="26"/>
      <c r="L14" s="27"/>
      <c r="M14" s="28"/>
      <c r="N14" s="28"/>
      <c r="O14" s="28"/>
      <c r="P14" s="28"/>
      <c r="Q14" s="28"/>
      <c r="R14" s="28"/>
      <c r="S14" s="23"/>
    </row>
    <row r="15" spans="1:19" x14ac:dyDescent="0.2">
      <c r="C15" s="8"/>
      <c r="E15" s="9"/>
      <c r="F15" s="15"/>
      <c r="H15" s="77"/>
      <c r="I15" s="20"/>
      <c r="J15" s="28"/>
      <c r="K15" s="28"/>
      <c r="L15" s="28"/>
      <c r="M15" s="28"/>
      <c r="N15" s="28"/>
      <c r="O15" s="28"/>
      <c r="P15" s="28"/>
      <c r="Q15" s="28"/>
      <c r="R15" s="28"/>
      <c r="S15" s="23"/>
    </row>
    <row r="16" spans="1:19" x14ac:dyDescent="0.2">
      <c r="A16" s="4" t="s">
        <v>20</v>
      </c>
      <c r="B16" s="10">
        <v>1.3</v>
      </c>
      <c r="C16" s="8">
        <f>+C10*B16</f>
        <v>207.53199999999998</v>
      </c>
      <c r="E16" s="9"/>
      <c r="F16" s="15"/>
      <c r="H16" s="77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x14ac:dyDescent="0.2">
      <c r="A17" s="4" t="s">
        <v>21</v>
      </c>
      <c r="B17" s="16">
        <f>+B13</f>
        <v>0.31419999999999998</v>
      </c>
      <c r="C17" s="8">
        <f>+C16*B17</f>
        <v>65.206554399999987</v>
      </c>
      <c r="E17" s="9"/>
      <c r="F17" s="15"/>
      <c r="H17" s="77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x14ac:dyDescent="0.2">
      <c r="A18" s="7" t="s">
        <v>22</v>
      </c>
      <c r="C18" s="12">
        <f>+C17+C16</f>
        <v>272.7385544</v>
      </c>
      <c r="E18" s="96">
        <f>+C18+E9</f>
        <v>672.7385544</v>
      </c>
      <c r="F18" s="14">
        <f>+C18/E9</f>
        <v>0.68184638600000003</v>
      </c>
      <c r="H18" s="77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x14ac:dyDescent="0.2">
      <c r="D19" s="17"/>
      <c r="H19" s="77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7" customFormat="1" x14ac:dyDescent="0.2">
      <c r="A20" s="7" t="s">
        <v>23</v>
      </c>
      <c r="H20" s="78"/>
    </row>
    <row r="21" spans="1:18" s="7" customFormat="1" x14ac:dyDescent="0.2">
      <c r="A21" s="7" t="s">
        <v>24</v>
      </c>
      <c r="H21" s="78"/>
    </row>
    <row r="22" spans="1:18" x14ac:dyDescent="0.2">
      <c r="H22" s="77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">
      <c r="A23" s="7"/>
      <c r="B23" s="7"/>
      <c r="D23" s="7"/>
      <c r="E23" s="7"/>
      <c r="F23" s="7"/>
      <c r="G23" s="7"/>
      <c r="H23" s="77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">
      <c r="A24" s="7"/>
      <c r="B24" s="7"/>
      <c r="D24" s="7"/>
      <c r="E24" s="7"/>
      <c r="F24" s="7"/>
      <c r="G24" s="7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x14ac:dyDescent="0.2"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x14ac:dyDescent="0.2"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8" spans="1:18" x14ac:dyDescent="0.2">
      <c r="A28" s="7"/>
      <c r="B28" s="7"/>
      <c r="D28" s="7"/>
      <c r="E28" s="7"/>
      <c r="F28" s="7"/>
      <c r="G28" s="7"/>
      <c r="H28" s="7"/>
    </row>
    <row r="29" spans="1:18" x14ac:dyDescent="0.2">
      <c r="A29" s="7"/>
      <c r="B29" s="7"/>
      <c r="D29" s="7"/>
      <c r="E29" s="7"/>
      <c r="F29" s="7"/>
      <c r="G29" s="7"/>
      <c r="H29" s="7"/>
    </row>
    <row r="32" spans="1:18" x14ac:dyDescent="0.2">
      <c r="B32" s="25"/>
      <c r="C32" s="8"/>
    </row>
    <row r="33" spans="1:3" x14ac:dyDescent="0.2">
      <c r="A33" s="25"/>
      <c r="B33" s="10"/>
      <c r="C33" s="8"/>
    </row>
    <row r="34" spans="1:3" x14ac:dyDescent="0.2">
      <c r="A34" s="25"/>
      <c r="B34" s="10"/>
      <c r="C34" s="8"/>
    </row>
    <row r="96" spans="10:10" x14ac:dyDescent="0.2">
      <c r="J96" s="17"/>
    </row>
    <row r="100" spans="7:11" x14ac:dyDescent="0.2">
      <c r="G100" s="17"/>
      <c r="I100" s="17"/>
      <c r="J100" s="17"/>
      <c r="K100" s="17"/>
    </row>
    <row r="101" spans="7:11" x14ac:dyDescent="0.2">
      <c r="H101" s="17"/>
    </row>
    <row r="102" spans="7:11" x14ac:dyDescent="0.2">
      <c r="G102" s="17"/>
      <c r="I102" s="17"/>
      <c r="J102" s="17"/>
      <c r="K102" s="17"/>
    </row>
    <row r="106" spans="7:11" x14ac:dyDescent="0.2">
      <c r="I106" s="17"/>
      <c r="K106" s="17"/>
    </row>
    <row r="108" spans="7:11" x14ac:dyDescent="0.2">
      <c r="I108" s="17"/>
      <c r="K108" s="17"/>
    </row>
  </sheetData>
  <sheetProtection selectLockedCells="1"/>
  <protectedRanges>
    <protectedRange sqref="E9" name="Område2"/>
    <protectedRange sqref="B25" name="Område1"/>
  </protectedRanges>
  <mergeCells count="2">
    <mergeCell ref="A6:D6"/>
    <mergeCell ref="A4:D4"/>
  </mergeCells>
  <phoneticPr fontId="0" type="noConversion"/>
  <pageMargins left="0.78740157480314965" right="0.78740157480314965" top="0.98425196850393704" bottom="0.39370078740157483" header="0.51181102362204722" footer="0.51181102362204722"/>
  <pageSetup paperSize="9" scale="92" orientation="landscape" horizontalDpi="4294967292" verticalDpi="1200" r:id="rId1"/>
  <headerFooter alignWithMargins="0">
    <oddFooter>&amp;L&amp;F, 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activeCell="C35" sqref="C35"/>
    </sheetView>
  </sheetViews>
  <sheetFormatPr defaultRowHeight="12.75" x14ac:dyDescent="0.2"/>
  <cols>
    <col min="1" max="1" width="33" style="4" customWidth="1"/>
    <col min="2" max="2" width="11.42578125" style="4" customWidth="1"/>
    <col min="3" max="3" width="12.5703125" style="4" bestFit="1" customWidth="1"/>
    <col min="4" max="4" width="18.85546875" style="4" customWidth="1"/>
    <col min="5" max="5" width="11.42578125" style="4" customWidth="1"/>
    <col min="6" max="6" width="9.5703125" style="6" customWidth="1"/>
    <col min="7" max="8" width="9.140625" style="4"/>
    <col min="9" max="10" width="9.140625" style="4" customWidth="1"/>
    <col min="11" max="14" width="9.140625" style="4" hidden="1" customWidth="1"/>
    <col min="15" max="16" width="9.140625" style="4" customWidth="1"/>
    <col min="17" max="16384" width="9.140625" style="4"/>
  </cols>
  <sheetData>
    <row r="1" spans="1:20" ht="20.25" x14ac:dyDescent="0.3">
      <c r="A1" s="2" t="s">
        <v>14</v>
      </c>
      <c r="B1" s="3"/>
    </row>
    <row r="2" spans="1:20" x14ac:dyDescent="0.2">
      <c r="A2" s="20" t="s">
        <v>50</v>
      </c>
    </row>
    <row r="3" spans="1:20" x14ac:dyDescent="0.2"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x14ac:dyDescent="0.2">
      <c r="A4" s="103" t="s">
        <v>3</v>
      </c>
      <c r="B4" s="104"/>
      <c r="C4" s="104"/>
      <c r="D4" s="105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"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39" customHeight="1" x14ac:dyDescent="0.2">
      <c r="A6" s="106" t="s">
        <v>13</v>
      </c>
      <c r="B6" s="102"/>
      <c r="C6" s="102"/>
      <c r="D6" s="10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x14ac:dyDescent="0.2">
      <c r="H7" s="20"/>
      <c r="I7" s="20"/>
      <c r="J7" s="28"/>
      <c r="K7" s="26"/>
      <c r="L7" s="27"/>
      <c r="M7" s="28"/>
      <c r="N7" s="28"/>
      <c r="O7" s="28"/>
      <c r="P7" s="28"/>
      <c r="Q7" s="28"/>
      <c r="R7" s="28"/>
      <c r="S7" s="97"/>
      <c r="T7" s="20"/>
    </row>
    <row r="8" spans="1:20" x14ac:dyDescent="0.2">
      <c r="C8" s="5" t="s">
        <v>2</v>
      </c>
      <c r="D8" s="6"/>
      <c r="E8" s="5" t="s">
        <v>4</v>
      </c>
      <c r="F8" s="5" t="s">
        <v>0</v>
      </c>
      <c r="H8" s="20"/>
      <c r="I8" s="20"/>
      <c r="J8" s="28"/>
      <c r="K8" s="26"/>
      <c r="L8" s="27"/>
      <c r="M8" s="28"/>
      <c r="N8" s="28"/>
      <c r="O8" s="28"/>
      <c r="P8" s="28"/>
      <c r="Q8" s="28"/>
      <c r="R8" s="28"/>
      <c r="S8" s="28"/>
      <c r="T8" s="20"/>
    </row>
    <row r="9" spans="1:20" x14ac:dyDescent="0.2">
      <c r="A9" s="4" t="s">
        <v>1</v>
      </c>
      <c r="C9" s="1">
        <f>('Lönetabell 2018'!E13)</f>
        <v>146.35103926096997</v>
      </c>
      <c r="E9" s="19">
        <v>400</v>
      </c>
      <c r="H9" s="20"/>
      <c r="I9" s="20"/>
      <c r="J9" s="28"/>
      <c r="K9" s="27">
        <f>SUM('Lönetabell 2018'!J1:K1)</f>
        <v>24826</v>
      </c>
      <c r="L9" s="94">
        <f>SUM(K9/4.33)</f>
        <v>5733.4872979214779</v>
      </c>
      <c r="M9" s="95">
        <f>ROUND((L9/40),2)</f>
        <v>143.34</v>
      </c>
      <c r="N9" s="28">
        <f>SUM('Lönetabell 2018'!J2:K2)</f>
        <v>2.1000000000000001E-2</v>
      </c>
      <c r="O9" s="28"/>
      <c r="P9" s="28"/>
      <c r="Q9" s="28"/>
      <c r="R9" s="28"/>
      <c r="S9" s="28"/>
      <c r="T9" s="20"/>
    </row>
    <row r="10" spans="1:20" x14ac:dyDescent="0.2">
      <c r="A10" s="20" t="s">
        <v>45</v>
      </c>
      <c r="B10" s="18">
        <v>110</v>
      </c>
      <c r="C10" s="8">
        <f>(M10)</f>
        <v>159.63999999999999</v>
      </c>
      <c r="E10" s="9"/>
      <c r="H10" s="20"/>
      <c r="I10" s="20"/>
      <c r="J10" s="28"/>
      <c r="K10" s="26">
        <f>SUM((((K9-2270)*(B10/100))+2270)*1.021)</f>
        <v>27650.313600000001</v>
      </c>
      <c r="L10" s="94">
        <f>SUM(N10/4.33)</f>
        <v>6385.7537182448041</v>
      </c>
      <c r="M10" s="95">
        <f>ROUND((L10/40),2)</f>
        <v>159.63999999999999</v>
      </c>
      <c r="N10" s="28">
        <f>IF(K10&lt;24000,SUM(K10*1.001),K10)</f>
        <v>27650.313600000001</v>
      </c>
      <c r="O10" s="28"/>
      <c r="P10" s="28"/>
      <c r="Q10" s="28"/>
      <c r="R10" s="28"/>
      <c r="S10" s="28"/>
      <c r="T10" s="20"/>
    </row>
    <row r="11" spans="1:20" x14ac:dyDescent="0.2">
      <c r="C11" s="8"/>
      <c r="E11" s="9"/>
      <c r="H11" s="20"/>
      <c r="I11" s="28"/>
      <c r="J11" s="28"/>
      <c r="K11" s="26"/>
      <c r="L11" s="27"/>
      <c r="M11" s="28"/>
      <c r="N11" s="28"/>
      <c r="O11" s="28"/>
      <c r="P11" s="28"/>
      <c r="Q11" s="28"/>
      <c r="R11" s="28"/>
      <c r="S11" s="28"/>
      <c r="T11" s="20"/>
    </row>
    <row r="12" spans="1:20" x14ac:dyDescent="0.2">
      <c r="A12" s="7" t="s">
        <v>5</v>
      </c>
      <c r="C12" s="8"/>
      <c r="E12" s="9"/>
      <c r="H12" s="20"/>
      <c r="I12" s="28"/>
      <c r="J12" s="28"/>
      <c r="K12" s="26"/>
      <c r="L12" s="27"/>
      <c r="M12" s="28"/>
      <c r="N12" s="28"/>
      <c r="O12" s="28"/>
      <c r="P12" s="28"/>
      <c r="Q12" s="28"/>
      <c r="R12" s="28"/>
      <c r="S12" s="28"/>
      <c r="T12" s="20"/>
    </row>
    <row r="13" spans="1:20" x14ac:dyDescent="0.2">
      <c r="A13" s="20" t="s">
        <v>6</v>
      </c>
      <c r="B13" s="10">
        <v>0.3</v>
      </c>
      <c r="C13" s="8">
        <f>(C10*B13)</f>
        <v>47.891999999999996</v>
      </c>
      <c r="E13" s="9"/>
      <c r="H13" s="20"/>
      <c r="I13" s="28"/>
      <c r="J13" s="28"/>
      <c r="K13" s="26"/>
      <c r="L13" s="27"/>
      <c r="M13" s="28"/>
      <c r="N13" s="28"/>
      <c r="O13" s="28"/>
      <c r="P13" s="28"/>
      <c r="Q13" s="28"/>
      <c r="R13" s="28"/>
      <c r="S13" s="28"/>
      <c r="T13" s="20"/>
    </row>
    <row r="14" spans="1:20" x14ac:dyDescent="0.2">
      <c r="A14" s="20" t="s">
        <v>7</v>
      </c>
      <c r="B14" s="16">
        <v>0.31419999999999998</v>
      </c>
      <c r="C14" s="8">
        <f>(C13*B14)</f>
        <v>15.047666399999997</v>
      </c>
      <c r="E14" s="9"/>
      <c r="H14" s="20"/>
      <c r="I14" s="28"/>
      <c r="J14" s="28"/>
      <c r="K14" s="26"/>
      <c r="L14" s="27"/>
      <c r="M14" s="28"/>
      <c r="N14" s="28"/>
      <c r="O14" s="28"/>
      <c r="P14" s="28"/>
      <c r="Q14" s="28"/>
      <c r="R14" s="28"/>
      <c r="S14" s="28"/>
      <c r="T14" s="20"/>
    </row>
    <row r="15" spans="1:20" x14ac:dyDescent="0.2">
      <c r="A15" s="7" t="s">
        <v>8</v>
      </c>
      <c r="B15" s="7"/>
      <c r="C15" s="12">
        <f>SUM(C13:C14)</f>
        <v>62.939666399999993</v>
      </c>
      <c r="E15" s="13">
        <f>(E9+C15)</f>
        <v>462.93966639999996</v>
      </c>
      <c r="F15" s="22">
        <f>(C15/E9)</f>
        <v>0.15734916599999998</v>
      </c>
      <c r="H15" s="20"/>
      <c r="I15" s="28"/>
      <c r="J15" s="28"/>
      <c r="K15" s="26"/>
      <c r="L15" s="27"/>
      <c r="M15" s="28"/>
      <c r="N15" s="28"/>
      <c r="O15" s="28"/>
      <c r="P15" s="28"/>
      <c r="Q15" s="28"/>
      <c r="R15" s="28"/>
      <c r="S15" s="28"/>
      <c r="T15" s="20"/>
    </row>
    <row r="16" spans="1:20" x14ac:dyDescent="0.2">
      <c r="C16" s="8"/>
      <c r="E16" s="9"/>
      <c r="H16" s="20"/>
      <c r="I16" s="28"/>
      <c r="J16" s="28"/>
      <c r="K16" s="26"/>
      <c r="L16" s="27"/>
      <c r="M16" s="28"/>
      <c r="N16" s="28"/>
      <c r="O16" s="28"/>
      <c r="P16" s="28"/>
      <c r="Q16" s="28"/>
      <c r="R16" s="28"/>
      <c r="S16" s="28"/>
      <c r="T16" s="20"/>
    </row>
    <row r="17" spans="1:20" x14ac:dyDescent="0.2">
      <c r="A17" s="7" t="s">
        <v>9</v>
      </c>
      <c r="C17" s="8"/>
      <c r="E17" s="9"/>
      <c r="H17" s="20"/>
      <c r="I17" s="28"/>
      <c r="J17" s="28"/>
      <c r="K17" s="26"/>
      <c r="L17" s="27"/>
      <c r="M17" s="28"/>
      <c r="N17" s="28"/>
      <c r="O17" s="28"/>
      <c r="P17" s="28"/>
      <c r="Q17" s="28"/>
      <c r="R17" s="28"/>
      <c r="S17" s="28"/>
      <c r="T17" s="20"/>
    </row>
    <row r="18" spans="1:20" x14ac:dyDescent="0.2">
      <c r="A18" s="20" t="s">
        <v>41</v>
      </c>
      <c r="B18" s="10">
        <v>0.5</v>
      </c>
      <c r="C18" s="8">
        <f>(C10*B18)</f>
        <v>79.819999999999993</v>
      </c>
      <c r="E18" s="9"/>
      <c r="H18" s="20"/>
      <c r="I18" s="28"/>
      <c r="J18" s="28"/>
      <c r="K18" s="26"/>
      <c r="L18" s="27"/>
      <c r="M18" s="28"/>
      <c r="N18" s="28"/>
      <c r="O18" s="28"/>
      <c r="P18" s="28"/>
      <c r="Q18" s="28"/>
      <c r="R18" s="28"/>
      <c r="S18" s="28"/>
      <c r="T18" s="20"/>
    </row>
    <row r="19" spans="1:20" x14ac:dyDescent="0.2">
      <c r="A19" s="20" t="s">
        <v>44</v>
      </c>
      <c r="B19" s="16">
        <f>SUM(B14)</f>
        <v>0.31419999999999998</v>
      </c>
      <c r="C19" s="8">
        <f>(C18*B19)</f>
        <v>25.079443999999995</v>
      </c>
      <c r="E19" s="9"/>
      <c r="H19" s="20"/>
      <c r="I19" s="28"/>
      <c r="J19" s="28"/>
      <c r="K19" s="26"/>
      <c r="L19" s="27"/>
      <c r="M19" s="28"/>
      <c r="N19" s="28"/>
      <c r="O19" s="28"/>
      <c r="P19" s="28"/>
      <c r="Q19" s="28"/>
      <c r="R19" s="28"/>
      <c r="S19" s="28"/>
      <c r="T19" s="20"/>
    </row>
    <row r="20" spans="1:20" x14ac:dyDescent="0.2">
      <c r="A20" s="7" t="s">
        <v>11</v>
      </c>
      <c r="B20" s="7"/>
      <c r="C20" s="12">
        <f>SUM(C18:C19)</f>
        <v>104.89944399999999</v>
      </c>
      <c r="E20" s="13">
        <f>(E9+C20)</f>
        <v>504.89944400000002</v>
      </c>
      <c r="F20" s="22">
        <f>(C20/E9)</f>
        <v>0.26224860999999999</v>
      </c>
      <c r="I20" s="23"/>
      <c r="J20" s="23"/>
      <c r="K20" s="26"/>
      <c r="L20" s="27"/>
      <c r="M20" s="28"/>
      <c r="N20" s="23"/>
      <c r="O20" s="23"/>
      <c r="P20" s="23"/>
      <c r="Q20" s="23"/>
      <c r="R20" s="23"/>
      <c r="S20" s="23"/>
    </row>
    <row r="21" spans="1:20" x14ac:dyDescent="0.2">
      <c r="C21" s="8"/>
      <c r="E21" s="9"/>
      <c r="I21" s="23"/>
      <c r="J21" s="23"/>
      <c r="K21" s="26"/>
      <c r="L21" s="27"/>
      <c r="M21" s="28"/>
      <c r="N21" s="23"/>
      <c r="O21" s="23"/>
      <c r="P21" s="23"/>
      <c r="Q21" s="23"/>
      <c r="R21" s="23"/>
      <c r="S21" s="23"/>
    </row>
    <row r="22" spans="1:20" x14ac:dyDescent="0.2">
      <c r="A22" s="7" t="s">
        <v>10</v>
      </c>
      <c r="C22" s="8"/>
      <c r="E22" s="9"/>
      <c r="I22" s="23"/>
      <c r="J22" s="23"/>
      <c r="K22" s="26"/>
      <c r="L22" s="27"/>
      <c r="M22" s="28"/>
      <c r="N22" s="23"/>
      <c r="O22" s="23"/>
      <c r="P22" s="23"/>
      <c r="Q22" s="23"/>
      <c r="R22" s="23"/>
      <c r="S22" s="23"/>
    </row>
    <row r="23" spans="1:20" x14ac:dyDescent="0.2">
      <c r="A23" s="20" t="s">
        <v>42</v>
      </c>
      <c r="B23" s="10">
        <v>1</v>
      </c>
      <c r="C23" s="8">
        <f>(C10*B23)</f>
        <v>159.63999999999999</v>
      </c>
      <c r="E23" s="9"/>
      <c r="I23" s="23"/>
      <c r="J23" s="23"/>
      <c r="K23" s="26"/>
      <c r="L23" s="27"/>
      <c r="M23" s="28"/>
      <c r="N23" s="23"/>
      <c r="O23" s="23"/>
      <c r="P23" s="23"/>
      <c r="Q23" s="23"/>
      <c r="R23" s="23"/>
      <c r="S23" s="23"/>
    </row>
    <row r="24" spans="1:20" x14ac:dyDescent="0.2">
      <c r="A24" s="20" t="s">
        <v>43</v>
      </c>
      <c r="B24" s="16">
        <f>SUM(B14)</f>
        <v>0.31419999999999998</v>
      </c>
      <c r="C24" s="8">
        <f>(C23*B24)</f>
        <v>50.15888799999999</v>
      </c>
      <c r="E24" s="9"/>
      <c r="I24" s="23"/>
      <c r="J24" s="23"/>
      <c r="K24" s="26"/>
      <c r="L24" s="27"/>
      <c r="M24" s="28"/>
      <c r="N24" s="23"/>
      <c r="O24" s="23"/>
      <c r="P24" s="23"/>
      <c r="Q24" s="23"/>
      <c r="R24" s="23"/>
      <c r="S24" s="23"/>
    </row>
    <row r="25" spans="1:20" x14ac:dyDescent="0.2">
      <c r="A25" s="7" t="s">
        <v>12</v>
      </c>
      <c r="B25" s="7"/>
      <c r="C25" s="12">
        <f>SUM(C23:C24)</f>
        <v>209.79888799999998</v>
      </c>
      <c r="E25" s="13">
        <f>(E9+C25)</f>
        <v>609.79888800000003</v>
      </c>
      <c r="F25" s="22">
        <f>(C25/E9)</f>
        <v>0.52449721999999999</v>
      </c>
      <c r="I25" s="23"/>
      <c r="J25" s="23"/>
      <c r="K25" s="26"/>
      <c r="L25" s="27"/>
      <c r="M25" s="28"/>
      <c r="N25" s="23"/>
      <c r="O25" s="23"/>
      <c r="P25" s="23"/>
      <c r="Q25" s="23"/>
      <c r="R25" s="23"/>
      <c r="S25" s="23"/>
    </row>
    <row r="26" spans="1:20" x14ac:dyDescent="0.2">
      <c r="B26" s="10"/>
      <c r="C26" s="8"/>
      <c r="E26" s="9"/>
      <c r="F26" s="15"/>
    </row>
    <row r="27" spans="1:20" s="7" customFormat="1" x14ac:dyDescent="0.2">
      <c r="A27" s="7" t="s">
        <v>23</v>
      </c>
      <c r="F27" s="5"/>
    </row>
    <row r="28" spans="1:20" s="7" customFormat="1" x14ac:dyDescent="0.2">
      <c r="A28" s="7" t="s">
        <v>24</v>
      </c>
      <c r="F28" s="5"/>
    </row>
    <row r="30" spans="1:20" x14ac:dyDescent="0.2">
      <c r="A30" s="7"/>
      <c r="B30" s="7"/>
      <c r="D30" s="7"/>
      <c r="E30" s="7"/>
      <c r="F30" s="5"/>
      <c r="G30" s="7"/>
    </row>
    <row r="31" spans="1:20" x14ac:dyDescent="0.2">
      <c r="A31" s="7"/>
      <c r="B31" s="7"/>
      <c r="D31" s="7"/>
      <c r="E31" s="7"/>
      <c r="F31" s="5"/>
      <c r="G31" s="7"/>
    </row>
    <row r="35" spans="1:8" x14ac:dyDescent="0.2">
      <c r="A35" s="7"/>
      <c r="B35" s="7"/>
      <c r="D35" s="7"/>
      <c r="E35" s="7"/>
      <c r="F35" s="5"/>
      <c r="G35" s="7"/>
      <c r="H35" s="7"/>
    </row>
    <row r="36" spans="1:8" x14ac:dyDescent="0.2">
      <c r="A36" s="7"/>
      <c r="B36" s="7"/>
      <c r="D36" s="7"/>
      <c r="E36" s="7"/>
      <c r="F36" s="5"/>
      <c r="G36" s="7"/>
      <c r="H36" s="7"/>
    </row>
    <row r="39" spans="1:8" x14ac:dyDescent="0.2">
      <c r="B39" s="25"/>
      <c r="C39" s="8"/>
    </row>
    <row r="40" spans="1:8" x14ac:dyDescent="0.2">
      <c r="A40" s="25"/>
      <c r="B40" s="10"/>
      <c r="C40" s="8"/>
    </row>
    <row r="41" spans="1:8" x14ac:dyDescent="0.2">
      <c r="A41" s="25"/>
      <c r="B41" s="10"/>
      <c r="C41" s="8"/>
    </row>
    <row r="103" spans="7:11" x14ac:dyDescent="0.2">
      <c r="J103" s="17"/>
    </row>
    <row r="107" spans="7:11" x14ac:dyDescent="0.2">
      <c r="G107" s="17"/>
      <c r="I107" s="17"/>
      <c r="J107" s="17"/>
      <c r="K107" s="17"/>
    </row>
    <row r="108" spans="7:11" x14ac:dyDescent="0.2">
      <c r="H108" s="17"/>
    </row>
    <row r="109" spans="7:11" x14ac:dyDescent="0.2">
      <c r="G109" s="17"/>
      <c r="I109" s="17"/>
      <c r="J109" s="17"/>
      <c r="K109" s="17"/>
    </row>
    <row r="113" spans="9:11" x14ac:dyDescent="0.2">
      <c r="I113" s="17"/>
      <c r="K113" s="17"/>
    </row>
    <row r="115" spans="9:11" x14ac:dyDescent="0.2">
      <c r="I115" s="17"/>
      <c r="K115" s="17"/>
    </row>
  </sheetData>
  <sheetProtection selectLockedCells="1"/>
  <protectedRanges>
    <protectedRange sqref="E9" name="Område2"/>
    <protectedRange sqref="B32" name="Område1"/>
  </protectedRanges>
  <mergeCells count="2">
    <mergeCell ref="A4:D4"/>
    <mergeCell ref="A6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Normal="100" workbookViewId="0">
      <selection activeCell="I24" sqref="I24"/>
    </sheetView>
  </sheetViews>
  <sheetFormatPr defaultRowHeight="12.75" x14ac:dyDescent="0.2"/>
  <cols>
    <col min="1" max="1" width="11" style="75" customWidth="1"/>
    <col min="2" max="2" width="11.7109375" style="4" customWidth="1"/>
    <col min="3" max="3" width="11" style="4" customWidth="1"/>
    <col min="4" max="4" width="9.85546875" style="4" customWidth="1"/>
    <col min="5" max="5" width="9.140625" style="4" customWidth="1"/>
    <col min="6" max="7" width="7.85546875" style="4" customWidth="1"/>
    <col min="8" max="8" width="9.42578125" style="4" customWidth="1"/>
    <col min="9" max="9" width="10" style="4" customWidth="1"/>
    <col min="10" max="11" width="11.7109375" style="4" customWidth="1"/>
    <col min="12" max="12" width="9.140625" style="4"/>
    <col min="13" max="14" width="11.28515625" style="4" hidden="1" customWidth="1"/>
    <col min="15" max="17" width="9.140625" style="4" hidden="1" customWidth="1"/>
    <col min="18" max="22" width="10.85546875" style="4" hidden="1" customWidth="1"/>
    <col min="23" max="16384" width="9.140625" style="4"/>
  </cols>
  <sheetData>
    <row r="1" spans="1:25" s="33" customFormat="1" ht="23.25" x14ac:dyDescent="0.2">
      <c r="A1" s="29" t="s">
        <v>25</v>
      </c>
      <c r="B1" s="30"/>
      <c r="C1" s="30"/>
      <c r="D1" s="30"/>
      <c r="E1" s="30" t="s">
        <v>26</v>
      </c>
      <c r="F1" s="30"/>
      <c r="G1" s="30"/>
      <c r="H1" s="31" t="s">
        <v>47</v>
      </c>
      <c r="I1" s="32"/>
      <c r="J1" s="107">
        <v>24826</v>
      </c>
      <c r="K1" s="108"/>
    </row>
    <row r="2" spans="1:25" ht="15.75" x14ac:dyDescent="0.25">
      <c r="A2" s="34" t="s">
        <v>49</v>
      </c>
      <c r="B2" s="35"/>
      <c r="C2" s="23"/>
      <c r="D2" s="23"/>
      <c r="E2" s="23"/>
      <c r="F2" s="23"/>
      <c r="G2" s="23"/>
      <c r="H2" s="36" t="s">
        <v>46</v>
      </c>
      <c r="I2" s="37"/>
      <c r="J2" s="109">
        <v>2.1000000000000001E-2</v>
      </c>
      <c r="K2" s="110"/>
      <c r="M2" s="8">
        <f>SUM(J1*J2)</f>
        <v>521.346</v>
      </c>
    </row>
    <row r="3" spans="1:25" ht="23.25" customHeight="1" x14ac:dyDescent="0.25">
      <c r="A3" s="38" t="s">
        <v>27</v>
      </c>
      <c r="B3" s="39"/>
      <c r="C3" s="40"/>
      <c r="D3" s="40"/>
      <c r="E3" s="40"/>
      <c r="F3" s="40"/>
      <c r="G3" s="40"/>
      <c r="H3" s="41" t="s">
        <v>48</v>
      </c>
      <c r="I3" s="42"/>
      <c r="J3" s="111">
        <f>ROUND(M3,0)</f>
        <v>25348</v>
      </c>
      <c r="K3" s="112"/>
      <c r="M3" s="8">
        <f>SUM(J1+M2+0.65)</f>
        <v>25347.996000000003</v>
      </c>
      <c r="N3" s="8"/>
    </row>
    <row r="4" spans="1:25" ht="21" customHeight="1" x14ac:dyDescent="0.2">
      <c r="A4" s="43"/>
      <c r="B4" s="44"/>
      <c r="C4" s="44"/>
      <c r="D4" s="44"/>
      <c r="E4" s="113" t="s">
        <v>2</v>
      </c>
      <c r="F4" s="114"/>
      <c r="G4" s="114"/>
      <c r="H4" s="114"/>
      <c r="I4" s="115"/>
      <c r="J4" s="44"/>
      <c r="K4" s="44"/>
    </row>
    <row r="5" spans="1:25" s="47" customFormat="1" ht="30.75" customHeight="1" x14ac:dyDescent="0.2">
      <c r="A5" s="45" t="s">
        <v>28</v>
      </c>
      <c r="B5" s="45" t="s">
        <v>29</v>
      </c>
      <c r="C5" s="45" t="s">
        <v>30</v>
      </c>
      <c r="D5" s="45" t="s">
        <v>31</v>
      </c>
      <c r="E5" s="46" t="s">
        <v>32</v>
      </c>
      <c r="F5" s="116" t="s">
        <v>33</v>
      </c>
      <c r="G5" s="117"/>
      <c r="H5" s="116" t="s">
        <v>34</v>
      </c>
      <c r="I5" s="118"/>
      <c r="J5" s="45" t="s">
        <v>35</v>
      </c>
      <c r="K5" s="45" t="s">
        <v>36</v>
      </c>
    </row>
    <row r="6" spans="1:25" s="55" customFormat="1" ht="15" customHeight="1" x14ac:dyDescent="0.2">
      <c r="A6" s="48"/>
      <c r="B6" s="48"/>
      <c r="C6" s="49" t="s">
        <v>37</v>
      </c>
      <c r="D6" s="49" t="s">
        <v>38</v>
      </c>
      <c r="E6" s="50" t="s">
        <v>39</v>
      </c>
      <c r="F6" s="51">
        <v>0.8</v>
      </c>
      <c r="G6" s="52">
        <v>1.3</v>
      </c>
      <c r="H6" s="51">
        <v>0.8</v>
      </c>
      <c r="I6" s="53">
        <v>1.3</v>
      </c>
      <c r="J6" s="54">
        <v>0.1</v>
      </c>
      <c r="K6" s="54">
        <v>0.12</v>
      </c>
    </row>
    <row r="7" spans="1:25" s="55" customFormat="1" ht="19.5" customHeight="1" x14ac:dyDescent="0.2">
      <c r="A7" s="56">
        <v>115</v>
      </c>
      <c r="B7" s="76">
        <v>28794</v>
      </c>
      <c r="C7" s="76">
        <f>SUM(B7/4.33)</f>
        <v>6649.8845265588916</v>
      </c>
      <c r="D7" s="57">
        <f>ROUND(((B7/4.33)/5),3)</f>
        <v>1329.9770000000001</v>
      </c>
      <c r="E7" s="58">
        <f>(C7/40)</f>
        <v>166.2471131639723</v>
      </c>
      <c r="F7" s="59">
        <f>(E7*1.8)</f>
        <v>299.24480369515015</v>
      </c>
      <c r="G7" s="58">
        <f t="shared" ref="G7:G14" si="0">(E7*2.3)</f>
        <v>382.36836027713628</v>
      </c>
      <c r="H7" s="59">
        <f t="shared" ref="H7:H14" si="1">(F7-E7)</f>
        <v>132.99769053117785</v>
      </c>
      <c r="I7" s="60">
        <f t="shared" ref="I7:I14" si="2">(G7-E7)</f>
        <v>216.12124711316397</v>
      </c>
      <c r="J7" s="57">
        <f t="shared" ref="J7:J14" si="3">(D7*0.1)</f>
        <v>132.99770000000001</v>
      </c>
      <c r="K7" s="57">
        <f t="shared" ref="K7:K14" si="4">(D7*0.12)</f>
        <v>159.59724</v>
      </c>
      <c r="M7" s="4">
        <v>27595</v>
      </c>
      <c r="N7" s="98">
        <f t="shared" ref="N7:N13" si="5">SUM(M7*0.022)</f>
        <v>607.08999999999992</v>
      </c>
      <c r="O7" s="98">
        <f t="shared" ref="O7:O13" si="6">(M7+N7)</f>
        <v>28202.09</v>
      </c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55" customFormat="1" ht="19.5" customHeight="1" x14ac:dyDescent="0.2">
      <c r="A8" s="56">
        <v>113</v>
      </c>
      <c r="B8" s="76">
        <v>28335</v>
      </c>
      <c r="C8" s="76">
        <f t="shared" ref="C8:C14" si="7">SUM(B8/4.33)</f>
        <v>6543.8799076212472</v>
      </c>
      <c r="D8" s="57">
        <f t="shared" ref="D8:D14" si="8">(C8/5)</f>
        <v>1308.7759815242493</v>
      </c>
      <c r="E8" s="58">
        <f t="shared" ref="E8:E14" si="9">(C8/40)</f>
        <v>163.59699769053117</v>
      </c>
      <c r="F8" s="59">
        <f t="shared" ref="F8:F14" si="10">(E8*1.8)</f>
        <v>294.47459584295609</v>
      </c>
      <c r="G8" s="58">
        <f t="shared" si="0"/>
        <v>376.27309468822165</v>
      </c>
      <c r="H8" s="59">
        <f t="shared" si="1"/>
        <v>130.87759815242492</v>
      </c>
      <c r="I8" s="60">
        <f t="shared" si="2"/>
        <v>212.67609699769048</v>
      </c>
      <c r="J8" s="57">
        <f t="shared" si="3"/>
        <v>130.87759815242495</v>
      </c>
      <c r="K8" s="57">
        <f t="shared" si="4"/>
        <v>157.05311778290991</v>
      </c>
      <c r="M8" s="4">
        <v>27155</v>
      </c>
      <c r="N8" s="98">
        <f t="shared" si="5"/>
        <v>597.41</v>
      </c>
      <c r="O8" s="98">
        <f t="shared" si="6"/>
        <v>27752.41</v>
      </c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55" customFormat="1" ht="19.5" customHeight="1" x14ac:dyDescent="0.2">
      <c r="A9" s="56">
        <v>111</v>
      </c>
      <c r="B9" s="76">
        <v>27875</v>
      </c>
      <c r="C9" s="76">
        <f t="shared" si="7"/>
        <v>6437.644341801386</v>
      </c>
      <c r="D9" s="57">
        <f t="shared" si="8"/>
        <v>1287.5288683602771</v>
      </c>
      <c r="E9" s="58">
        <f t="shared" si="9"/>
        <v>160.94110854503464</v>
      </c>
      <c r="F9" s="59">
        <f t="shared" si="10"/>
        <v>289.69399538106234</v>
      </c>
      <c r="G9" s="58">
        <f t="shared" si="0"/>
        <v>370.16454965357963</v>
      </c>
      <c r="H9" s="59">
        <f t="shared" si="1"/>
        <v>128.7528868360277</v>
      </c>
      <c r="I9" s="60">
        <f t="shared" si="2"/>
        <v>209.22344110854499</v>
      </c>
      <c r="J9" s="57">
        <f t="shared" si="3"/>
        <v>128.75288683602773</v>
      </c>
      <c r="K9" s="57">
        <f t="shared" si="4"/>
        <v>154.50346420323325</v>
      </c>
      <c r="M9" s="4">
        <v>26714</v>
      </c>
      <c r="N9" s="98">
        <f t="shared" si="5"/>
        <v>587.70799999999997</v>
      </c>
      <c r="O9" s="98">
        <f t="shared" si="6"/>
        <v>27301.707999999999</v>
      </c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s="55" customFormat="1" ht="19.5" customHeight="1" x14ac:dyDescent="0.2">
      <c r="A10" s="56">
        <v>109</v>
      </c>
      <c r="B10" s="76">
        <v>27416</v>
      </c>
      <c r="C10" s="76">
        <f t="shared" si="7"/>
        <v>6331.6397228637416</v>
      </c>
      <c r="D10" s="57">
        <f t="shared" si="8"/>
        <v>1266.3279445727483</v>
      </c>
      <c r="E10" s="58">
        <f t="shared" si="9"/>
        <v>158.29099307159353</v>
      </c>
      <c r="F10" s="59">
        <f t="shared" si="10"/>
        <v>284.92378752886839</v>
      </c>
      <c r="G10" s="58">
        <f t="shared" si="0"/>
        <v>364.06928406466511</v>
      </c>
      <c r="H10" s="59">
        <f t="shared" si="1"/>
        <v>126.63279445727485</v>
      </c>
      <c r="I10" s="60">
        <f t="shared" si="2"/>
        <v>205.77829099307158</v>
      </c>
      <c r="J10" s="57">
        <f t="shared" si="3"/>
        <v>126.63279445727483</v>
      </c>
      <c r="K10" s="57">
        <f t="shared" si="4"/>
        <v>151.95935334872979</v>
      </c>
      <c r="M10" s="4">
        <v>26274</v>
      </c>
      <c r="N10" s="98">
        <f t="shared" si="5"/>
        <v>578.02800000000002</v>
      </c>
      <c r="O10" s="98">
        <f t="shared" si="6"/>
        <v>26852.027999999998</v>
      </c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55" customFormat="1" ht="19.5" customHeight="1" x14ac:dyDescent="0.2">
      <c r="A11" s="56">
        <v>106</v>
      </c>
      <c r="B11" s="76">
        <v>26726</v>
      </c>
      <c r="C11" s="76">
        <f t="shared" si="7"/>
        <v>6172.2863741339488</v>
      </c>
      <c r="D11" s="57">
        <f t="shared" si="8"/>
        <v>1234.4572748267897</v>
      </c>
      <c r="E11" s="58">
        <f t="shared" si="9"/>
        <v>154.30715935334871</v>
      </c>
      <c r="F11" s="59">
        <f t="shared" si="10"/>
        <v>277.7528868360277</v>
      </c>
      <c r="G11" s="58">
        <f t="shared" si="0"/>
        <v>354.90646651270202</v>
      </c>
      <c r="H11" s="59">
        <f t="shared" si="1"/>
        <v>123.44572748267899</v>
      </c>
      <c r="I11" s="60">
        <f t="shared" si="2"/>
        <v>200.59930715935332</v>
      </c>
      <c r="J11" s="57">
        <f t="shared" si="3"/>
        <v>123.44572748267898</v>
      </c>
      <c r="K11" s="57">
        <f t="shared" si="4"/>
        <v>148.13487297921475</v>
      </c>
      <c r="M11" s="4">
        <v>25613</v>
      </c>
      <c r="N11" s="98">
        <f t="shared" si="5"/>
        <v>563.48599999999999</v>
      </c>
      <c r="O11" s="98">
        <f t="shared" si="6"/>
        <v>26176.486000000001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55" customFormat="1" ht="19.5" customHeight="1" x14ac:dyDescent="0.2">
      <c r="A12" s="56">
        <v>103</v>
      </c>
      <c r="B12" s="76">
        <v>26038</v>
      </c>
      <c r="C12" s="76">
        <f t="shared" si="7"/>
        <v>6013.3949191685915</v>
      </c>
      <c r="D12" s="57">
        <f t="shared" si="8"/>
        <v>1202.6789838337183</v>
      </c>
      <c r="E12" s="58">
        <f t="shared" si="9"/>
        <v>150.33487297921479</v>
      </c>
      <c r="F12" s="59">
        <f t="shared" si="10"/>
        <v>270.60277136258662</v>
      </c>
      <c r="G12" s="58">
        <f t="shared" si="0"/>
        <v>345.77020785219401</v>
      </c>
      <c r="H12" s="59">
        <f t="shared" si="1"/>
        <v>120.26789838337183</v>
      </c>
      <c r="I12" s="60">
        <f t="shared" si="2"/>
        <v>195.43533487297921</v>
      </c>
      <c r="J12" s="57">
        <f t="shared" si="3"/>
        <v>120.26789838337184</v>
      </c>
      <c r="K12" s="57">
        <f t="shared" si="4"/>
        <v>144.32147806004619</v>
      </c>
      <c r="M12" s="4">
        <v>24953</v>
      </c>
      <c r="N12" s="98">
        <f t="shared" si="5"/>
        <v>548.96600000000001</v>
      </c>
      <c r="O12" s="98">
        <f t="shared" si="6"/>
        <v>25501.966</v>
      </c>
      <c r="P12" s="98"/>
      <c r="Q12" s="98"/>
      <c r="R12" s="100">
        <f>SUM(J1-2270)</f>
        <v>22556</v>
      </c>
      <c r="S12" s="100">
        <f>SUM(R12*1.1)</f>
        <v>24811.600000000002</v>
      </c>
      <c r="T12" s="100">
        <f>SUM(S12+2270)</f>
        <v>27081.600000000002</v>
      </c>
      <c r="U12" s="100">
        <f>SUM(T12*J2)</f>
        <v>568.71360000000004</v>
      </c>
      <c r="V12" s="100">
        <f>SUM(T12:U12)</f>
        <v>27650.313600000001</v>
      </c>
      <c r="W12" s="98"/>
      <c r="X12" s="98"/>
      <c r="Y12" s="98"/>
    </row>
    <row r="13" spans="1:25" s="55" customFormat="1" ht="19.5" customHeight="1" x14ac:dyDescent="0.2">
      <c r="A13" s="56">
        <v>100</v>
      </c>
      <c r="B13" s="76">
        <v>25348</v>
      </c>
      <c r="C13" s="76">
        <f t="shared" si="7"/>
        <v>5854.0415704387988</v>
      </c>
      <c r="D13" s="57">
        <f t="shared" si="8"/>
        <v>1170.8083140877598</v>
      </c>
      <c r="E13" s="58">
        <f t="shared" si="9"/>
        <v>146.35103926096997</v>
      </c>
      <c r="F13" s="59">
        <f t="shared" si="10"/>
        <v>263.43187066974593</v>
      </c>
      <c r="G13" s="58">
        <f t="shared" si="0"/>
        <v>336.60739030023092</v>
      </c>
      <c r="H13" s="59">
        <f t="shared" si="1"/>
        <v>117.08083140877596</v>
      </c>
      <c r="I13" s="60">
        <f t="shared" si="2"/>
        <v>190.25635103926095</v>
      </c>
      <c r="J13" s="57">
        <f t="shared" si="3"/>
        <v>117.08083140877598</v>
      </c>
      <c r="K13" s="57">
        <f t="shared" si="4"/>
        <v>140.49699769053117</v>
      </c>
      <c r="M13" s="4">
        <v>24292</v>
      </c>
      <c r="N13" s="98">
        <f t="shared" si="5"/>
        <v>534.42399999999998</v>
      </c>
      <c r="O13" s="98">
        <f t="shared" si="6"/>
        <v>24826.423999999999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55" customFormat="1" ht="19.5" customHeight="1" x14ac:dyDescent="0.2">
      <c r="A14" s="61">
        <v>90</v>
      </c>
      <c r="B14" s="80">
        <v>23095</v>
      </c>
      <c r="C14" s="80">
        <f t="shared" si="7"/>
        <v>5333.7182448036947</v>
      </c>
      <c r="D14" s="62">
        <f t="shared" si="8"/>
        <v>1066.7436489607389</v>
      </c>
      <c r="E14" s="63">
        <f t="shared" si="9"/>
        <v>133.34295612009237</v>
      </c>
      <c r="F14" s="64">
        <f t="shared" si="10"/>
        <v>240.01732101616628</v>
      </c>
      <c r="G14" s="65">
        <f t="shared" si="0"/>
        <v>306.68879907621243</v>
      </c>
      <c r="H14" s="64">
        <f t="shared" si="1"/>
        <v>106.67436489607391</v>
      </c>
      <c r="I14" s="66">
        <f t="shared" si="2"/>
        <v>173.34584295612007</v>
      </c>
      <c r="J14" s="62">
        <f t="shared" si="3"/>
        <v>106.6743648960739</v>
      </c>
      <c r="K14" s="62">
        <f t="shared" si="4"/>
        <v>128.00923787528868</v>
      </c>
      <c r="M14" s="4">
        <v>22090</v>
      </c>
      <c r="N14" s="98">
        <f>SUM(M14*0.022)</f>
        <v>485.97999999999996</v>
      </c>
      <c r="O14" s="98">
        <f>SUM((M14+N14)*1.001)</f>
        <v>22598.555979999997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47" customFormat="1" x14ac:dyDescent="0.2">
      <c r="A15" s="67"/>
      <c r="B15" s="68"/>
      <c r="C15" s="68"/>
      <c r="D15" s="68"/>
      <c r="E15" s="69"/>
      <c r="F15" s="69"/>
      <c r="G15" s="69"/>
      <c r="H15" s="69"/>
      <c r="I15" s="69"/>
      <c r="J15" s="69"/>
      <c r="K15" s="70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5" s="55" customFormat="1" ht="18" customHeight="1" x14ac:dyDescent="0.2">
      <c r="A16" s="71" t="s">
        <v>40</v>
      </c>
      <c r="B16" s="72"/>
      <c r="C16" s="72"/>
      <c r="D16" s="72"/>
      <c r="E16" s="72"/>
      <c r="F16" s="72"/>
      <c r="G16" s="73">
        <v>22.5</v>
      </c>
      <c r="H16" s="72"/>
      <c r="I16" s="72"/>
      <c r="J16" s="72"/>
      <c r="K16" s="74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</row>
    <row r="17" spans="13:24" ht="13.5" customHeight="1" x14ac:dyDescent="0.2"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</sheetData>
  <sheetProtection selectLockedCells="1" selectUnlockedCells="1"/>
  <mergeCells count="6">
    <mergeCell ref="J1:K1"/>
    <mergeCell ref="J2:K2"/>
    <mergeCell ref="J3:K3"/>
    <mergeCell ref="E4:I4"/>
    <mergeCell ref="F5:G5"/>
    <mergeCell ref="H5:I5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B6" sqref="B6"/>
    </sheetView>
  </sheetViews>
  <sheetFormatPr defaultRowHeight="12.75" x14ac:dyDescent="0.2"/>
  <cols>
    <col min="2" max="3" width="12.28515625" bestFit="1" customWidth="1"/>
    <col min="10" max="11" width="11.5703125" customWidth="1"/>
  </cols>
  <sheetData>
    <row r="2" spans="1:11" ht="15" x14ac:dyDescent="0.2">
      <c r="A2" s="81"/>
      <c r="B2" s="82"/>
      <c r="C2" s="82"/>
      <c r="D2" s="82"/>
      <c r="E2" s="113" t="s">
        <v>2</v>
      </c>
      <c r="F2" s="114"/>
      <c r="G2" s="114"/>
      <c r="H2" s="114"/>
      <c r="I2" s="115"/>
      <c r="J2" s="82"/>
      <c r="K2" s="82"/>
    </row>
    <row r="3" spans="1:11" ht="30" x14ac:dyDescent="0.2">
      <c r="A3" s="45" t="s">
        <v>28</v>
      </c>
      <c r="B3" s="45" t="s">
        <v>29</v>
      </c>
      <c r="C3" s="45" t="s">
        <v>30</v>
      </c>
      <c r="D3" s="45" t="s">
        <v>31</v>
      </c>
      <c r="E3" s="79" t="s">
        <v>32</v>
      </c>
      <c r="F3" s="116" t="s">
        <v>33</v>
      </c>
      <c r="G3" s="117"/>
      <c r="H3" s="116" t="s">
        <v>34</v>
      </c>
      <c r="I3" s="118"/>
      <c r="J3" s="45" t="s">
        <v>35</v>
      </c>
      <c r="K3" s="45" t="s">
        <v>36</v>
      </c>
    </row>
    <row r="4" spans="1:11" x14ac:dyDescent="0.2">
      <c r="A4" s="83"/>
      <c r="B4" s="83"/>
      <c r="C4" s="84" t="s">
        <v>37</v>
      </c>
      <c r="D4" s="84" t="s">
        <v>38</v>
      </c>
      <c r="E4" s="85" t="s">
        <v>39</v>
      </c>
      <c r="F4" s="86">
        <v>0.8</v>
      </c>
      <c r="G4" s="87">
        <v>1.3</v>
      </c>
      <c r="H4" s="86">
        <v>0.8</v>
      </c>
      <c r="I4" s="88">
        <v>1.3</v>
      </c>
      <c r="J4" s="89">
        <v>0.1</v>
      </c>
      <c r="K4" s="89">
        <v>0.12</v>
      </c>
    </row>
    <row r="5" spans="1:11" x14ac:dyDescent="0.2">
      <c r="A5" s="90">
        <v>110</v>
      </c>
      <c r="B5" s="91">
        <f>SUM('Lönetabell 2018'!V12)</f>
        <v>27650.313600000001</v>
      </c>
      <c r="C5" s="90">
        <f>ROUND(B5/4.33,0)</f>
        <v>6386</v>
      </c>
      <c r="D5" s="92">
        <f>(C5/5)</f>
        <v>1277.2</v>
      </c>
      <c r="E5" s="92">
        <f>(C5/40)</f>
        <v>159.65</v>
      </c>
      <c r="F5" s="92">
        <f>(E5*1.8)</f>
        <v>287.37</v>
      </c>
      <c r="G5" s="92">
        <f>(E5*2.3)</f>
        <v>367.19499999999999</v>
      </c>
      <c r="H5" s="92">
        <f>(F5-E5)</f>
        <v>127.72</v>
      </c>
      <c r="I5" s="92">
        <f>(G5-E5)</f>
        <v>207.54499999999999</v>
      </c>
      <c r="J5" s="92">
        <f>(D5*0.1)</f>
        <v>127.72000000000001</v>
      </c>
      <c r="K5" s="92">
        <f>(D5*0.12)</f>
        <v>153.26400000000001</v>
      </c>
    </row>
    <row r="7" spans="1:11" x14ac:dyDescent="0.2">
      <c r="B7" s="93"/>
      <c r="D7" s="93">
        <f>SUM('Lönetabell 2018'!J2:K2)</f>
        <v>2.1000000000000001E-2</v>
      </c>
    </row>
    <row r="8" spans="1:11" x14ac:dyDescent="0.2">
      <c r="B8" s="93"/>
      <c r="C8" s="93"/>
      <c r="D8" s="93"/>
    </row>
    <row r="9" spans="1:11" x14ac:dyDescent="0.2">
      <c r="B9" s="93"/>
      <c r="C9" s="93"/>
      <c r="D9" s="93"/>
    </row>
    <row r="10" spans="1:11" x14ac:dyDescent="0.2">
      <c r="B10" s="93"/>
      <c r="C10" s="93"/>
      <c r="D10" s="93"/>
    </row>
    <row r="11" spans="1:11" x14ac:dyDescent="0.2">
      <c r="B11" s="93"/>
      <c r="C11" s="93"/>
      <c r="D11" s="93"/>
    </row>
  </sheetData>
  <mergeCells count="3">
    <mergeCell ref="E2:I2"/>
    <mergeCell ref="F3:G3"/>
    <mergeCell ref="H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Övertid 2018</vt:lpstr>
      <vt:lpstr>OB 2018</vt:lpstr>
      <vt:lpstr>Lönetabell 2018</vt:lpstr>
      <vt:lpstr>Löneklass 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Lindén</dc:creator>
  <cp:lastModifiedBy>Mattias Löfroth</cp:lastModifiedBy>
  <cp:lastPrinted>2017-06-02T15:24:48Z</cp:lastPrinted>
  <dcterms:created xsi:type="dcterms:W3CDTF">1998-11-05T10:35:49Z</dcterms:created>
  <dcterms:modified xsi:type="dcterms:W3CDTF">2018-10-10T07:21:36Z</dcterms:modified>
</cp:coreProperties>
</file>