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Övertid 2019" sheetId="1" r:id="rId1"/>
    <sheet name="OB 2019" sheetId="2" r:id="rId2"/>
    <sheet name="Lönetabell 2019" sheetId="3" r:id="rId3"/>
    <sheet name="Löneklass 110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<sst xmlns="http://schemas.openxmlformats.org/spreadsheetml/2006/main" count="74" uniqueCount="51">
  <si>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Påslag</t>
  </si>
  <si>
    <t>Timlön löneklass 100 enl. lönetabell A-C</t>
  </si>
  <si>
    <t>Timlön</t>
  </si>
  <si>
    <t>Aktuella ingångsvärden förs in i celler med gul bakgrund varefter uträkning sker automatiskt</t>
  </si>
  <si>
    <t>Taxetimpris</t>
  </si>
  <si>
    <t>OB-ersättning 30 %</t>
  </si>
  <si>
    <t>30 % av timlön</t>
  </si>
  <si>
    <t>Sociala avg på 30 % av timlönen</t>
  </si>
  <si>
    <t>Påslag på aktuell timtaxa vid 30 %</t>
  </si>
  <si>
    <t>OB-ersättning 50 %</t>
  </si>
  <si>
    <t>OB-ersättning 100 %</t>
  </si>
  <si>
    <t>Påslag på aktuell timtaxa vid 50 %</t>
  </si>
  <si>
    <t>Påslag på aktuell timtaxa vid 100 %</t>
  </si>
  <si>
    <t xml:space="preserve">Beräkning av tillägg på taxetimpris vid arbete under obekväm arbetstid inkl. semesterlön och särskilda avgifter enligt lag och riksavtal med Kommunal. </t>
  </si>
  <si>
    <t>Timdebitering för föreskrivet arbete under obekväm arbetstid</t>
  </si>
  <si>
    <t>Timdebitering för föreskrivet övertidsarbete</t>
  </si>
  <si>
    <t xml:space="preserve">Beräkning av tillägg på taxetimpris vid övertidsarbete inkl. övertidstillägg, semesterlön och särskilda avgifter enligt lag och riksavtal med Kommunal. </t>
  </si>
  <si>
    <t>80 % av timlön</t>
  </si>
  <si>
    <t>Sociala avg på 80 % av timlönen</t>
  </si>
  <si>
    <t>Påslag på aktuell timtaxa vid 80 %</t>
  </si>
  <si>
    <t>130 % av timpris</t>
  </si>
  <si>
    <t>Sociala avg på 130 % av timpriset</t>
  </si>
  <si>
    <t>Påslag på aktuell timtaxa vid 130 %</t>
  </si>
  <si>
    <t>Vid beräkning av arbetstidens längd inräknas förflyttningstid till och från arbetsplatsen.</t>
  </si>
  <si>
    <t>Vid övertidsarbete räknas påbörjad halvtimme som hel halvtimme.</t>
  </si>
  <si>
    <t>Tarifflöner - arbetare</t>
  </si>
  <si>
    <t>(enligt Bilaga 2)</t>
  </si>
  <si>
    <t>Tabell a</t>
  </si>
  <si>
    <t>Löneklass</t>
  </si>
  <si>
    <t>Månadslön</t>
  </si>
  <si>
    <t>Veckolön</t>
  </si>
  <si>
    <t>Daglön</t>
  </si>
  <si>
    <t>Ordinarie</t>
  </si>
  <si>
    <t>Övertidsersättning</t>
  </si>
  <si>
    <t>Övertidstillägg vid uttag av kompledighet</t>
  </si>
  <si>
    <t>Föräldralön per dag</t>
  </si>
  <si>
    <t>Semester-dagstillägg</t>
  </si>
  <si>
    <t>M.lön / 4,33</t>
  </si>
  <si>
    <t>V.lön / 5</t>
  </si>
  <si>
    <t>V.lön / 40</t>
  </si>
  <si>
    <t>Tillägg per timme vid utförande av Brandskyddskontroll</t>
  </si>
  <si>
    <t>50 % av timlön</t>
  </si>
  <si>
    <t>100 % av timlön</t>
  </si>
  <si>
    <t>Sociala avg på 100 % av timlönen</t>
  </si>
  <si>
    <t>Sociala avg på 50 % av timlönen</t>
  </si>
  <si>
    <t>Aktuell löneklass (medianlön = 110)</t>
  </si>
  <si>
    <t>Månadslön 2018 (100):</t>
  </si>
  <si>
    <t>Gäller från och med den 1 april 2019 till och med den 31 mars 2020</t>
  </si>
  <si>
    <t>Gäller från och med 1 april 2019</t>
  </si>
  <si>
    <t>Löneökning 2019:</t>
  </si>
  <si>
    <t>Månadslön 2019 (100):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</si>
</sst>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%"/>
    <numFmt numFmtId="168" formatCode="#,##0.00\ &quot;kr&quot;"/>
    <numFmt numFmtId="169" formatCode="#,##0\ &quot;kr&quot;"/>
    <numFmt numFmtId="170" formatCode="#,##0.0\ &quot;kr&quot;"/>
    <numFmt numFmtId="171" formatCode="0.000"/>
    <numFmt numFmtId="172" formatCode="[$-41D]&quot;den &quot;d\ mmmm\ yyyy"/>
    <numFmt numFmtId="173" formatCode="0.000%"/>
    <numFmt numFmtId="174" formatCode="0.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hair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8" fontId="1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68" fontId="0" fillId="33" borderId="0" xfId="0" applyNumberFormat="1" applyFill="1" applyAlignment="1" applyProtection="1">
      <alignment/>
      <protection/>
    </xf>
    <xf numFmtId="169" fontId="0" fillId="33" borderId="0" xfId="0" applyNumberFormat="1" applyFill="1" applyAlignment="1" applyProtection="1">
      <alignment horizontal="center"/>
      <protection/>
    </xf>
    <xf numFmtId="9" fontId="0" fillId="33" borderId="0" xfId="0" applyNumberFormat="1" applyFill="1" applyAlignment="1" applyProtection="1">
      <alignment/>
      <protection/>
    </xf>
    <xf numFmtId="10" fontId="0" fillId="33" borderId="0" xfId="48" applyNumberFormat="1" applyFill="1" applyAlignment="1" applyProtection="1">
      <alignment/>
      <protection/>
    </xf>
    <xf numFmtId="168" fontId="1" fillId="33" borderId="0" xfId="0" applyNumberFormat="1" applyFont="1" applyFill="1" applyAlignment="1" applyProtection="1">
      <alignment/>
      <protection/>
    </xf>
    <xf numFmtId="169" fontId="1" fillId="33" borderId="0" xfId="0" applyNumberFormat="1" applyFont="1" applyFill="1" applyAlignment="1" applyProtection="1">
      <alignment horizontal="center"/>
      <protection/>
    </xf>
    <xf numFmtId="9" fontId="1" fillId="33" borderId="0" xfId="48" applyFont="1" applyFill="1" applyAlignment="1" applyProtection="1">
      <alignment horizontal="center"/>
      <protection/>
    </xf>
    <xf numFmtId="9" fontId="0" fillId="33" borderId="0" xfId="48" applyFill="1" applyAlignment="1" applyProtection="1">
      <alignment horizontal="center"/>
      <protection/>
    </xf>
    <xf numFmtId="10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/>
      <protection locked="0"/>
    </xf>
    <xf numFmtId="169" fontId="1" fillId="34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9" fontId="1" fillId="33" borderId="0" xfId="48" applyNumberFormat="1" applyFont="1" applyFill="1" applyAlignment="1" applyProtection="1">
      <alignment horizontal="center"/>
      <protection/>
    </xf>
    <xf numFmtId="9" fontId="1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68" fontId="0" fillId="33" borderId="0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horizontal="left"/>
      <protection/>
    </xf>
    <xf numFmtId="0" fontId="47" fillId="33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47" fillId="33" borderId="14" xfId="0" applyFont="1" applyFill="1" applyBorder="1" applyAlignment="1" applyProtection="1">
      <alignment horizontal="left"/>
      <protection/>
    </xf>
    <xf numFmtId="0" fontId="47" fillId="33" borderId="15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 horizontal="center" vertical="top" wrapText="1"/>
      <protection/>
    </xf>
    <xf numFmtId="0" fontId="48" fillId="33" borderId="17" xfId="0" applyFont="1" applyFill="1" applyBorder="1" applyAlignment="1" applyProtection="1">
      <alignment horizontal="center" vertical="top" wrapText="1"/>
      <protection/>
    </xf>
    <xf numFmtId="0" fontId="48" fillId="33" borderId="0" xfId="0" applyFont="1" applyFill="1" applyAlignment="1" applyProtection="1">
      <alignment/>
      <protection/>
    </xf>
    <xf numFmtId="0" fontId="48" fillId="33" borderId="16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top"/>
      <protection/>
    </xf>
    <xf numFmtId="0" fontId="48" fillId="33" borderId="18" xfId="0" applyFont="1" applyFill="1" applyBorder="1" applyAlignment="1" applyProtection="1">
      <alignment horizontal="center" vertical="top"/>
      <protection/>
    </xf>
    <xf numFmtId="9" fontId="48" fillId="33" borderId="19" xfId="0" applyNumberFormat="1" applyFont="1" applyFill="1" applyBorder="1" applyAlignment="1" applyProtection="1">
      <alignment horizontal="center" vertical="top"/>
      <protection/>
    </xf>
    <xf numFmtId="9" fontId="48" fillId="33" borderId="18" xfId="0" applyNumberFormat="1" applyFont="1" applyFill="1" applyBorder="1" applyAlignment="1" applyProtection="1">
      <alignment horizontal="center" vertical="top"/>
      <protection/>
    </xf>
    <xf numFmtId="9" fontId="48" fillId="33" borderId="0" xfId="0" applyNumberFormat="1" applyFont="1" applyFill="1" applyBorder="1" applyAlignment="1" applyProtection="1">
      <alignment horizontal="center" vertical="top"/>
      <protection/>
    </xf>
    <xf numFmtId="9" fontId="48" fillId="33" borderId="16" xfId="0" applyNumberFormat="1" applyFont="1" applyFill="1" applyBorder="1" applyAlignment="1" applyProtection="1">
      <alignment horizontal="center" vertical="top"/>
      <protection/>
    </xf>
    <xf numFmtId="0" fontId="48" fillId="33" borderId="0" xfId="0" applyFont="1" applyFill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/>
    </xf>
    <xf numFmtId="2" fontId="0" fillId="33" borderId="22" xfId="0" applyNumberFormat="1" applyFont="1" applyFill="1" applyBorder="1" applyAlignment="1" applyProtection="1">
      <alignment horizontal="center" vertical="center"/>
      <protection/>
    </xf>
    <xf numFmtId="2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2" fontId="0" fillId="33" borderId="24" xfId="0" applyNumberFormat="1" applyFont="1" applyFill="1" applyBorder="1" applyAlignment="1" applyProtection="1">
      <alignment horizontal="center" vertical="center"/>
      <protection/>
    </xf>
    <xf numFmtId="2" fontId="0" fillId="33" borderId="25" xfId="0" applyNumberFormat="1" applyFont="1" applyFill="1" applyBorder="1" applyAlignment="1" applyProtection="1">
      <alignment horizontal="center" vertical="center"/>
      <protection/>
    </xf>
    <xf numFmtId="2" fontId="0" fillId="33" borderId="26" xfId="0" applyNumberFormat="1" applyFont="1" applyFill="1" applyBorder="1" applyAlignment="1" applyProtection="1">
      <alignment horizontal="center" vertical="center"/>
      <protection/>
    </xf>
    <xf numFmtId="2" fontId="0" fillId="33" borderId="27" xfId="0" applyNumberFormat="1" applyFont="1" applyFill="1" applyBorder="1" applyAlignment="1" applyProtection="1">
      <alignment horizontal="center" vertical="center"/>
      <protection/>
    </xf>
    <xf numFmtId="2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1" fontId="0" fillId="33" borderId="2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48" fillId="33" borderId="17" xfId="0" applyFont="1" applyFill="1" applyBorder="1" applyAlignment="1" applyProtection="1">
      <alignment horizontal="center" vertical="top" wrapText="1"/>
      <protection/>
    </xf>
    <xf numFmtId="1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/>
      <protection/>
    </xf>
    <xf numFmtId="0" fontId="48" fillId="33" borderId="32" xfId="0" applyFont="1" applyFill="1" applyBorder="1" applyAlignment="1" applyProtection="1">
      <alignment horizontal="center" vertical="center"/>
      <protection/>
    </xf>
    <xf numFmtId="0" fontId="48" fillId="33" borderId="32" xfId="0" applyFont="1" applyFill="1" applyBorder="1" applyAlignment="1" applyProtection="1">
      <alignment horizontal="center" vertical="top"/>
      <protection/>
    </xf>
    <xf numFmtId="0" fontId="48" fillId="33" borderId="33" xfId="0" applyFont="1" applyFill="1" applyBorder="1" applyAlignment="1" applyProtection="1">
      <alignment horizontal="center" vertical="top"/>
      <protection/>
    </xf>
    <xf numFmtId="9" fontId="48" fillId="33" borderId="34" xfId="0" applyNumberFormat="1" applyFont="1" applyFill="1" applyBorder="1" applyAlignment="1" applyProtection="1">
      <alignment horizontal="center" vertical="top"/>
      <protection/>
    </xf>
    <xf numFmtId="9" fontId="48" fillId="33" borderId="33" xfId="0" applyNumberFormat="1" applyFont="1" applyFill="1" applyBorder="1" applyAlignment="1" applyProtection="1">
      <alignment horizontal="center" vertical="top"/>
      <protection/>
    </xf>
    <xf numFmtId="9" fontId="48" fillId="33" borderId="15" xfId="0" applyNumberFormat="1" applyFont="1" applyFill="1" applyBorder="1" applyAlignment="1" applyProtection="1">
      <alignment horizontal="center" vertical="top"/>
      <protection/>
    </xf>
    <xf numFmtId="9" fontId="48" fillId="33" borderId="32" xfId="0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/>
      <protection/>
    </xf>
    <xf numFmtId="168" fontId="1" fillId="33" borderId="0" xfId="0" applyNumberFormat="1" applyFont="1" applyFill="1" applyAlignment="1" applyProtection="1">
      <alignment horizontal="center"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/>
      <protection/>
    </xf>
    <xf numFmtId="168" fontId="28" fillId="33" borderId="0" xfId="0" applyNumberFormat="1" applyFont="1" applyFill="1" applyAlignment="1" applyProtection="1">
      <alignment vertical="center"/>
      <protection/>
    </xf>
    <xf numFmtId="0" fontId="0" fillId="33" borderId="13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 wrapText="1"/>
      <protection/>
    </xf>
    <xf numFmtId="168" fontId="0" fillId="35" borderId="12" xfId="0" applyNumberFormat="1" applyFill="1" applyBorder="1" applyAlignment="1" applyProtection="1">
      <alignment horizontal="right" vertical="center" indent="3"/>
      <protection/>
    </xf>
    <xf numFmtId="168" fontId="0" fillId="35" borderId="38" xfId="0" applyNumberFormat="1" applyFill="1" applyBorder="1" applyAlignment="1" applyProtection="1">
      <alignment horizontal="right" vertical="center" indent="3"/>
      <protection/>
    </xf>
    <xf numFmtId="10" fontId="0" fillId="35" borderId="0" xfId="48" applyNumberFormat="1" applyFont="1" applyFill="1" applyBorder="1" applyAlignment="1" applyProtection="1">
      <alignment horizontal="right" vertical="center" indent="3"/>
      <protection/>
    </xf>
    <xf numFmtId="10" fontId="0" fillId="35" borderId="29" xfId="48" applyNumberFormat="1" applyFont="1" applyFill="1" applyBorder="1" applyAlignment="1" applyProtection="1">
      <alignment horizontal="right" vertical="center" indent="3"/>
      <protection/>
    </xf>
    <xf numFmtId="168" fontId="0" fillId="35" borderId="15" xfId="0" applyNumberFormat="1" applyFill="1" applyBorder="1" applyAlignment="1" applyProtection="1">
      <alignment horizontal="right" vertical="center" indent="3"/>
      <protection/>
    </xf>
    <xf numFmtId="168" fontId="0" fillId="35" borderId="30" xfId="0" applyNumberFormat="1" applyFill="1" applyBorder="1" applyAlignment="1" applyProtection="1">
      <alignment horizontal="right" vertical="center" indent="3"/>
      <protection/>
    </xf>
    <xf numFmtId="0" fontId="43" fillId="33" borderId="35" xfId="0" applyFont="1" applyFill="1" applyBorder="1" applyAlignment="1" applyProtection="1">
      <alignment horizontal="center" vertical="center" wrapText="1"/>
      <protection/>
    </xf>
    <xf numFmtId="0" fontId="43" fillId="33" borderId="36" xfId="0" applyFont="1" applyFill="1" applyBorder="1" applyAlignment="1" applyProtection="1">
      <alignment horizontal="center" vertical="center" wrapText="1"/>
      <protection/>
    </xf>
    <xf numFmtId="0" fontId="43" fillId="33" borderId="37" xfId="0" applyFont="1" applyFill="1" applyBorder="1" applyAlignment="1" applyProtection="1">
      <alignment horizontal="center" vertical="center" wrapText="1"/>
      <protection/>
    </xf>
    <xf numFmtId="0" fontId="48" fillId="33" borderId="39" xfId="0" applyFont="1" applyFill="1" applyBorder="1" applyAlignment="1" applyProtection="1">
      <alignment horizontal="center" vertical="top" wrapText="1"/>
      <protection/>
    </xf>
    <xf numFmtId="0" fontId="48" fillId="33" borderId="17" xfId="0" applyFont="1" applyFill="1" applyBorder="1" applyAlignment="1" applyProtection="1">
      <alignment horizontal="center" vertical="top" wrapText="1"/>
      <protection/>
    </xf>
    <xf numFmtId="0" fontId="48" fillId="33" borderId="12" xfId="0" applyFont="1" applyFill="1" applyBorder="1" applyAlignment="1" applyProtection="1">
      <alignment horizontal="center" vertical="top" wrapText="1"/>
      <protection/>
    </xf>
    <xf numFmtId="10" fontId="0" fillId="33" borderId="0" xfId="0" applyNumberFormat="1" applyFont="1" applyFill="1" applyBorder="1" applyAlignment="1" applyProtection="1">
      <alignment/>
      <protection/>
    </xf>
    <xf numFmtId="174" fontId="0" fillId="33" borderId="0" xfId="0" applyNumberFormat="1" applyFont="1" applyFill="1" applyBorder="1" applyAlignment="1" applyProtection="1">
      <alignment/>
      <protection/>
    </xf>
    <xf numFmtId="174" fontId="0" fillId="33" borderId="0" xfId="0" applyNumberFormat="1" applyFill="1" applyAlignment="1" applyProtection="1">
      <alignment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3.00390625" style="4" customWidth="1"/>
    <col min="2" max="2" width="11.421875" style="4" customWidth="1"/>
    <col min="3" max="3" width="12.57421875" style="4" bestFit="1" customWidth="1"/>
    <col min="4" max="4" width="18.8515625" style="4" customWidth="1"/>
    <col min="5" max="5" width="11.421875" style="4" customWidth="1"/>
    <col min="6" max="6" width="8.57421875" style="4" customWidth="1"/>
    <col min="7" max="7" width="9.140625" style="4" customWidth="1"/>
    <col min="8" max="8" width="0" style="4" hidden="1" customWidth="1"/>
    <col min="9" max="10" width="9.140625" style="4" hidden="1" customWidth="1"/>
    <col min="11" max="11" width="12.28125" style="4" hidden="1" customWidth="1"/>
    <col min="12" max="15" width="9.140625" style="4" hidden="1" customWidth="1"/>
    <col min="16" max="19" width="0" style="4" hidden="1" customWidth="1"/>
    <col min="20" max="16384" width="9.140625" style="4" customWidth="1"/>
  </cols>
  <sheetData>
    <row r="1" spans="1:2" ht="20.25">
      <c r="A1" s="2" t="s">
        <v>15</v>
      </c>
      <c r="B1" s="3"/>
    </row>
    <row r="2" ht="12.75">
      <c r="A2" s="20" t="s">
        <v>47</v>
      </c>
    </row>
    <row r="4" spans="1:4" ht="12.75">
      <c r="A4" s="103" t="s">
        <v>3</v>
      </c>
      <c r="B4" s="104"/>
      <c r="C4" s="104"/>
      <c r="D4" s="105"/>
    </row>
    <row r="5" spans="8:18" ht="12.75">
      <c r="H5" s="77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39" customHeight="1">
      <c r="A6" s="101" t="s">
        <v>16</v>
      </c>
      <c r="B6" s="102"/>
      <c r="C6" s="102"/>
      <c r="D6" s="102"/>
      <c r="H6" s="77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8:19" ht="12.75">
      <c r="H7" s="77"/>
      <c r="I7" s="20"/>
      <c r="J7" s="28"/>
      <c r="K7" s="26"/>
      <c r="L7" s="27"/>
      <c r="M7" s="28"/>
      <c r="N7" s="28"/>
      <c r="O7" s="28"/>
      <c r="P7" s="28"/>
      <c r="Q7" s="28"/>
      <c r="R7" s="28"/>
      <c r="S7" s="24"/>
    </row>
    <row r="8" spans="3:19" ht="12.75">
      <c r="C8" s="5" t="s">
        <v>2</v>
      </c>
      <c r="D8" s="6"/>
      <c r="E8" s="5" t="s">
        <v>4</v>
      </c>
      <c r="F8" s="7" t="s">
        <v>0</v>
      </c>
      <c r="H8" s="77"/>
      <c r="I8" s="20"/>
      <c r="J8" s="28"/>
      <c r="K8" s="26"/>
      <c r="L8" s="27"/>
      <c r="M8" s="28"/>
      <c r="N8" s="28"/>
      <c r="O8" s="28"/>
      <c r="P8" s="28"/>
      <c r="Q8" s="28"/>
      <c r="R8" s="28"/>
      <c r="S8" s="23"/>
    </row>
    <row r="9" spans="1:19" ht="12.75">
      <c r="A9" s="4" t="s">
        <v>1</v>
      </c>
      <c r="C9" s="1">
        <f>('Lönetabell 2019'!E13)</f>
        <v>149.56697459584296</v>
      </c>
      <c r="E9" s="19">
        <v>400</v>
      </c>
      <c r="H9" s="77"/>
      <c r="I9" s="20"/>
      <c r="J9" s="28"/>
      <c r="K9" s="26">
        <f>SUM('Lönetabell 2019'!J1:K1)</f>
        <v>25348</v>
      </c>
      <c r="L9" s="94">
        <f>ROUND(K9/4.33,0)</f>
        <v>5854</v>
      </c>
      <c r="M9" s="95">
        <f>(L9/40)</f>
        <v>146.35</v>
      </c>
      <c r="N9" s="119">
        <f>SUM('Lönetabell 2019'!J2:K2)</f>
        <v>0.022</v>
      </c>
      <c r="O9" s="28"/>
      <c r="P9" s="120">
        <f>SUM(N9)</f>
        <v>0.022</v>
      </c>
      <c r="Q9" s="120">
        <f>SUM(1+P9)</f>
        <v>1.022</v>
      </c>
      <c r="R9" s="28"/>
      <c r="S9" s="23"/>
    </row>
    <row r="10" spans="1:19" ht="12.75">
      <c r="A10" s="20" t="s">
        <v>45</v>
      </c>
      <c r="B10" s="18">
        <v>110</v>
      </c>
      <c r="C10" s="8">
        <f>(M10)</f>
        <v>163.19</v>
      </c>
      <c r="E10" s="9"/>
      <c r="H10" s="77"/>
      <c r="I10" s="20"/>
      <c r="J10" s="28"/>
      <c r="K10" s="27">
        <f>ROUND(SUM((((K9-2270)*(B10/100))+2270)*Q9),0)</f>
        <v>28264</v>
      </c>
      <c r="L10" s="94">
        <f>SUM(N10/4.33)</f>
        <v>6527.4826789838335</v>
      </c>
      <c r="M10" s="95">
        <f>ROUND((L10/40),2)</f>
        <v>163.19</v>
      </c>
      <c r="N10" s="28">
        <f>IF(K10&lt;14000,SUM(K10*1.001),K10)</f>
        <v>28264</v>
      </c>
      <c r="O10" s="28"/>
      <c r="P10" s="28"/>
      <c r="Q10" s="28"/>
      <c r="R10" s="28"/>
      <c r="S10" s="23"/>
    </row>
    <row r="11" spans="3:19" ht="12.75">
      <c r="C11" s="8"/>
      <c r="E11" s="9"/>
      <c r="H11" s="77"/>
      <c r="I11" s="28"/>
      <c r="J11" s="28"/>
      <c r="K11" s="26"/>
      <c r="L11" s="27"/>
      <c r="M11" s="28"/>
      <c r="N11" s="28"/>
      <c r="O11" s="28"/>
      <c r="P11" s="28"/>
      <c r="Q11" s="28"/>
      <c r="R11" s="28"/>
      <c r="S11" s="23"/>
    </row>
    <row r="12" spans="1:19" ht="12.75">
      <c r="A12" s="4" t="s">
        <v>17</v>
      </c>
      <c r="B12" s="10">
        <v>0.8</v>
      </c>
      <c r="C12" s="8">
        <f>+C10*0.8</f>
        <v>130.552</v>
      </c>
      <c r="E12" s="9"/>
      <c r="H12" s="77"/>
      <c r="I12" s="20"/>
      <c r="J12" s="28"/>
      <c r="K12" s="26"/>
      <c r="L12" s="27"/>
      <c r="M12" s="28"/>
      <c r="N12" s="28"/>
      <c r="O12" s="28"/>
      <c r="P12" s="28"/>
      <c r="Q12" s="28"/>
      <c r="R12" s="28"/>
      <c r="S12" s="23"/>
    </row>
    <row r="13" spans="1:19" ht="12.75">
      <c r="A13" s="4" t="s">
        <v>18</v>
      </c>
      <c r="B13" s="11">
        <v>0.3142</v>
      </c>
      <c r="C13" s="8">
        <f>+C12*B13</f>
        <v>41.01943839999999</v>
      </c>
      <c r="E13" s="9"/>
      <c r="H13" s="77"/>
      <c r="I13" s="20"/>
      <c r="J13" s="28"/>
      <c r="K13" s="26"/>
      <c r="L13" s="27"/>
      <c r="M13" s="28"/>
      <c r="N13" s="28"/>
      <c r="O13" s="28"/>
      <c r="P13" s="28"/>
      <c r="Q13" s="28"/>
      <c r="R13" s="28"/>
      <c r="S13" s="23"/>
    </row>
    <row r="14" spans="1:19" ht="12.75">
      <c r="A14" s="7" t="s">
        <v>19</v>
      </c>
      <c r="B14" s="11"/>
      <c r="C14" s="12">
        <f>+C12+C13</f>
        <v>171.57143839999998</v>
      </c>
      <c r="E14" s="96">
        <f>SUM(E9+C14)</f>
        <v>571.5714384</v>
      </c>
      <c r="F14" s="21">
        <f>+C14/E9</f>
        <v>0.42892859599999994</v>
      </c>
      <c r="H14" s="77"/>
      <c r="I14" s="20"/>
      <c r="J14" s="28"/>
      <c r="K14" s="26"/>
      <c r="L14" s="27"/>
      <c r="M14" s="28"/>
      <c r="N14" s="28"/>
      <c r="O14" s="28"/>
      <c r="P14" s="28"/>
      <c r="Q14" s="28"/>
      <c r="R14" s="28"/>
      <c r="S14" s="23"/>
    </row>
    <row r="15" spans="3:19" ht="12.75">
      <c r="C15" s="8"/>
      <c r="E15" s="9"/>
      <c r="F15" s="15"/>
      <c r="H15" s="77"/>
      <c r="I15" s="20"/>
      <c r="J15" s="28"/>
      <c r="K15" s="28"/>
      <c r="L15" s="28"/>
      <c r="M15" s="28"/>
      <c r="N15" s="28"/>
      <c r="O15" s="28"/>
      <c r="P15" s="28"/>
      <c r="Q15" s="28"/>
      <c r="R15" s="28"/>
      <c r="S15" s="23"/>
    </row>
    <row r="16" spans="1:18" ht="12.75">
      <c r="A16" s="4" t="s">
        <v>20</v>
      </c>
      <c r="B16" s="10">
        <v>1.3</v>
      </c>
      <c r="C16" s="8">
        <f>+C10*B16</f>
        <v>212.147</v>
      </c>
      <c r="E16" s="9"/>
      <c r="F16" s="15"/>
      <c r="H16" s="77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4" t="s">
        <v>21</v>
      </c>
      <c r="B17" s="16">
        <f>+B13</f>
        <v>0.3142</v>
      </c>
      <c r="C17" s="8">
        <f>+C16*B17</f>
        <v>66.65658739999999</v>
      </c>
      <c r="E17" s="9"/>
      <c r="F17" s="15"/>
      <c r="H17" s="77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.75">
      <c r="A18" s="7" t="s">
        <v>22</v>
      </c>
      <c r="C18" s="12">
        <f>+C17+C16</f>
        <v>278.80358739999997</v>
      </c>
      <c r="E18" s="96">
        <f>+C18+E9</f>
        <v>678.8035874</v>
      </c>
      <c r="F18" s="14">
        <f>+C18/E9</f>
        <v>0.6970089684999999</v>
      </c>
      <c r="H18" s="77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4:18" ht="12.75">
      <c r="D19" s="17"/>
      <c r="H19" s="77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8" s="7" customFormat="1" ht="12.75">
      <c r="A20" s="7" t="s">
        <v>23</v>
      </c>
      <c r="H20" s="78"/>
    </row>
    <row r="21" spans="1:8" s="7" customFormat="1" ht="12.75">
      <c r="A21" s="7" t="s">
        <v>24</v>
      </c>
      <c r="H21" s="78"/>
    </row>
    <row r="22" spans="8:18" ht="12.75">
      <c r="H22" s="77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2.75">
      <c r="A23" s="7"/>
      <c r="B23" s="7"/>
      <c r="D23" s="7"/>
      <c r="E23" s="7"/>
      <c r="F23" s="7"/>
      <c r="G23" s="7"/>
      <c r="H23" s="77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7"/>
      <c r="B24" s="7"/>
      <c r="D24" s="7"/>
      <c r="E24" s="7"/>
      <c r="F24" s="7"/>
      <c r="G24" s="7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9:18" ht="12.75"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9:18" ht="12.75"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8" spans="1:8" ht="12.75">
      <c r="A28" s="7"/>
      <c r="B28" s="7"/>
      <c r="D28" s="7"/>
      <c r="E28" s="7"/>
      <c r="F28" s="7"/>
      <c r="G28" s="7"/>
      <c r="H28" s="7"/>
    </row>
    <row r="29" spans="1:8" ht="12.75">
      <c r="A29" s="7"/>
      <c r="B29" s="7"/>
      <c r="D29" s="7"/>
      <c r="E29" s="7"/>
      <c r="F29" s="7"/>
      <c r="G29" s="7"/>
      <c r="H29" s="7"/>
    </row>
    <row r="32" spans="2:3" ht="12.75">
      <c r="B32" s="25"/>
      <c r="C32" s="8"/>
    </row>
    <row r="33" spans="1:3" ht="12.75">
      <c r="A33" s="25"/>
      <c r="B33" s="10"/>
      <c r="C33" s="8"/>
    </row>
    <row r="34" spans="1:3" ht="12.75">
      <c r="A34" s="25"/>
      <c r="B34" s="10"/>
      <c r="C34" s="8"/>
    </row>
    <row r="96" ht="12.75">
      <c r="J96" s="17"/>
    </row>
    <row r="100" spans="7:11" ht="12.75">
      <c r="G100" s="17"/>
      <c r="I100" s="17"/>
      <c r="J100" s="17"/>
      <c r="K100" s="17"/>
    </row>
    <row r="101" ht="12.75">
      <c r="H101" s="17"/>
    </row>
    <row r="102" spans="7:11" ht="12.75">
      <c r="G102" s="17"/>
      <c r="I102" s="17"/>
      <c r="J102" s="17"/>
      <c r="K102" s="17"/>
    </row>
    <row r="106" spans="9:11" ht="12.75">
      <c r="I106" s="17"/>
      <c r="K106" s="17"/>
    </row>
    <row r="108" spans="9:11" ht="12.75">
      <c r="I108" s="17"/>
      <c r="K108" s="17"/>
    </row>
  </sheetData>
  <sheetProtection selectLockedCells="1"/>
  <protectedRanges>
    <protectedRange sqref="E9" name="Omr?de2"/>
    <protectedRange sqref="B25" name="Omr?de1"/>
  </protectedRanges>
  <mergeCells count="2">
    <mergeCell ref="A6:D6"/>
    <mergeCell ref="A4:D4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9" scale="92" r:id="rId1"/>
  <headerFooter alignWithMargins="0">
    <oddFooter>&amp;L&amp;F, 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3.00390625" style="4" customWidth="1"/>
    <col min="2" max="2" width="11.421875" style="4" customWidth="1"/>
    <col min="3" max="3" width="12.57421875" style="4" bestFit="1" customWidth="1"/>
    <col min="4" max="4" width="18.8515625" style="4" customWidth="1"/>
    <col min="5" max="5" width="11.421875" style="4" customWidth="1"/>
    <col min="6" max="6" width="9.57421875" style="6" customWidth="1"/>
    <col min="7" max="10" width="9.140625" style="4" customWidth="1"/>
    <col min="11" max="15" width="9.140625" style="4" hidden="1" customWidth="1"/>
    <col min="16" max="16" width="9.140625" style="4" customWidth="1"/>
    <col min="17" max="16384" width="9.140625" style="4" customWidth="1"/>
  </cols>
  <sheetData>
    <row r="1" spans="1:2" ht="20.25">
      <c r="A1" s="2" t="s">
        <v>14</v>
      </c>
      <c r="B1" s="3"/>
    </row>
    <row r="2" ht="12.75">
      <c r="A2" s="20" t="s">
        <v>47</v>
      </c>
    </row>
    <row r="3" spans="8:20" ht="12.75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103" t="s">
        <v>3</v>
      </c>
      <c r="B4" s="104"/>
      <c r="C4" s="104"/>
      <c r="D4" s="105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8:20" ht="12.75"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39" customHeight="1">
      <c r="A6" s="106" t="s">
        <v>13</v>
      </c>
      <c r="B6" s="102"/>
      <c r="C6" s="102"/>
      <c r="D6" s="10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8:20" ht="12.75">
      <c r="H7" s="20"/>
      <c r="I7" s="20"/>
      <c r="J7" s="28"/>
      <c r="K7" s="26"/>
      <c r="L7" s="27"/>
      <c r="M7" s="28"/>
      <c r="N7" s="28"/>
      <c r="O7" s="28"/>
      <c r="P7" s="28"/>
      <c r="Q7" s="28"/>
      <c r="R7" s="28"/>
      <c r="S7" s="97"/>
      <c r="T7" s="20"/>
    </row>
    <row r="8" spans="3:20" ht="12.75">
      <c r="C8" s="5" t="s">
        <v>2</v>
      </c>
      <c r="D8" s="6"/>
      <c r="E8" s="5" t="s">
        <v>4</v>
      </c>
      <c r="F8" s="5" t="s">
        <v>0</v>
      </c>
      <c r="H8" s="20"/>
      <c r="I8" s="20"/>
      <c r="J8" s="28"/>
      <c r="K8" s="26"/>
      <c r="L8" s="27"/>
      <c r="M8" s="28"/>
      <c r="N8" s="28"/>
      <c r="O8" s="28"/>
      <c r="P8" s="28"/>
      <c r="Q8" s="28"/>
      <c r="R8" s="28"/>
      <c r="S8" s="28"/>
      <c r="T8" s="20"/>
    </row>
    <row r="9" spans="1:20" ht="12.75">
      <c r="A9" s="4" t="s">
        <v>1</v>
      </c>
      <c r="C9" s="1">
        <f>('Lönetabell 2019'!E13)</f>
        <v>149.56697459584296</v>
      </c>
      <c r="E9" s="19">
        <v>400</v>
      </c>
      <c r="H9" s="20"/>
      <c r="I9" s="20"/>
      <c r="J9" s="28"/>
      <c r="K9" s="27">
        <f>SUM('Lönetabell 2019'!J1:K1)</f>
        <v>25348</v>
      </c>
      <c r="L9" s="94">
        <f>SUM(K9/4.33)</f>
        <v>5854.041570438799</v>
      </c>
      <c r="M9" s="95">
        <f>ROUND((L9/40),2)</f>
        <v>146.35</v>
      </c>
      <c r="N9" s="28">
        <f>SUM('Lönetabell 2019'!J2:K2)</f>
        <v>0.022</v>
      </c>
      <c r="O9" s="28">
        <f>SUM(1+N9)</f>
        <v>1.022</v>
      </c>
      <c r="P9" s="28"/>
      <c r="Q9" s="28"/>
      <c r="R9" s="28"/>
      <c r="S9" s="28"/>
      <c r="T9" s="20"/>
    </row>
    <row r="10" spans="1:20" ht="12.75">
      <c r="A10" s="20" t="s">
        <v>45</v>
      </c>
      <c r="B10" s="18">
        <v>110</v>
      </c>
      <c r="C10" s="8">
        <f>(M10)</f>
        <v>163.19</v>
      </c>
      <c r="E10" s="9"/>
      <c r="H10" s="20"/>
      <c r="I10" s="20"/>
      <c r="J10" s="28"/>
      <c r="K10" s="26">
        <f>SUM((((K9-2270)*(B10/100))+2270)*O9)</f>
        <v>28264.227600000002</v>
      </c>
      <c r="L10" s="94">
        <f>SUM(N10/4.33)</f>
        <v>6527.535242494227</v>
      </c>
      <c r="M10" s="95">
        <f>ROUND((L10/40),2)</f>
        <v>163.19</v>
      </c>
      <c r="N10" s="28">
        <f>IF(K10&lt;24000,SUM(K10*1.001),K10)</f>
        <v>28264.227600000002</v>
      </c>
      <c r="O10" s="28"/>
      <c r="P10" s="28"/>
      <c r="Q10" s="28"/>
      <c r="R10" s="28"/>
      <c r="S10" s="28"/>
      <c r="T10" s="20"/>
    </row>
    <row r="11" spans="3:20" ht="12.75">
      <c r="C11" s="8"/>
      <c r="E11" s="9"/>
      <c r="H11" s="20"/>
      <c r="I11" s="28"/>
      <c r="J11" s="28"/>
      <c r="K11" s="26"/>
      <c r="L11" s="27"/>
      <c r="M11" s="28"/>
      <c r="N11" s="28"/>
      <c r="O11" s="28"/>
      <c r="P11" s="28"/>
      <c r="Q11" s="28"/>
      <c r="R11" s="28"/>
      <c r="S11" s="28"/>
      <c r="T11" s="20"/>
    </row>
    <row r="12" spans="1:20" ht="12.75">
      <c r="A12" s="7" t="s">
        <v>5</v>
      </c>
      <c r="C12" s="8"/>
      <c r="E12" s="9"/>
      <c r="H12" s="20"/>
      <c r="I12" s="28"/>
      <c r="J12" s="28"/>
      <c r="K12" s="26"/>
      <c r="L12" s="27"/>
      <c r="M12" s="28"/>
      <c r="N12" s="28"/>
      <c r="O12" s="28"/>
      <c r="P12" s="28"/>
      <c r="Q12" s="28"/>
      <c r="R12" s="28"/>
      <c r="S12" s="28"/>
      <c r="T12" s="20"/>
    </row>
    <row r="13" spans="1:20" ht="12.75">
      <c r="A13" s="20" t="s">
        <v>6</v>
      </c>
      <c r="B13" s="10">
        <v>0.3</v>
      </c>
      <c r="C13" s="8">
        <f>(C10*B13)</f>
        <v>48.957</v>
      </c>
      <c r="E13" s="9"/>
      <c r="H13" s="20"/>
      <c r="I13" s="28"/>
      <c r="J13" s="28"/>
      <c r="K13" s="26"/>
      <c r="L13" s="27"/>
      <c r="M13" s="28"/>
      <c r="N13" s="28"/>
      <c r="O13" s="28"/>
      <c r="P13" s="28"/>
      <c r="Q13" s="28"/>
      <c r="R13" s="28"/>
      <c r="S13" s="28"/>
      <c r="T13" s="20"/>
    </row>
    <row r="14" spans="1:20" ht="12.75">
      <c r="A14" s="20" t="s">
        <v>7</v>
      </c>
      <c r="B14" s="16">
        <v>0.3142</v>
      </c>
      <c r="C14" s="8">
        <f>(C13*B14)</f>
        <v>15.3822894</v>
      </c>
      <c r="E14" s="9"/>
      <c r="H14" s="20"/>
      <c r="I14" s="28"/>
      <c r="J14" s="28"/>
      <c r="K14" s="26"/>
      <c r="L14" s="27"/>
      <c r="M14" s="28"/>
      <c r="N14" s="28"/>
      <c r="O14" s="28"/>
      <c r="P14" s="28"/>
      <c r="Q14" s="28"/>
      <c r="R14" s="28"/>
      <c r="S14" s="28"/>
      <c r="T14" s="20"/>
    </row>
    <row r="15" spans="1:20" ht="12.75">
      <c r="A15" s="7" t="s">
        <v>8</v>
      </c>
      <c r="B15" s="7"/>
      <c r="C15" s="12">
        <f>SUM(C13:C14)</f>
        <v>64.3392894</v>
      </c>
      <c r="E15" s="13">
        <f>(E9+C15)</f>
        <v>464.3392894</v>
      </c>
      <c r="F15" s="22">
        <f>(C15/E9)</f>
        <v>0.1608482235</v>
      </c>
      <c r="H15" s="20"/>
      <c r="I15" s="28"/>
      <c r="J15" s="28"/>
      <c r="K15" s="26"/>
      <c r="L15" s="27"/>
      <c r="M15" s="28"/>
      <c r="N15" s="28"/>
      <c r="O15" s="28"/>
      <c r="P15" s="28"/>
      <c r="Q15" s="28"/>
      <c r="R15" s="28"/>
      <c r="S15" s="28"/>
      <c r="T15" s="20"/>
    </row>
    <row r="16" spans="3:20" ht="12.75">
      <c r="C16" s="8"/>
      <c r="E16" s="9"/>
      <c r="H16" s="20"/>
      <c r="I16" s="28"/>
      <c r="J16" s="28"/>
      <c r="K16" s="26"/>
      <c r="L16" s="27"/>
      <c r="M16" s="28"/>
      <c r="N16" s="28"/>
      <c r="O16" s="28"/>
      <c r="P16" s="28"/>
      <c r="Q16" s="28"/>
      <c r="R16" s="28"/>
      <c r="S16" s="28"/>
      <c r="T16" s="20"/>
    </row>
    <row r="17" spans="1:20" ht="12.75">
      <c r="A17" s="7" t="s">
        <v>9</v>
      </c>
      <c r="C17" s="8"/>
      <c r="E17" s="9"/>
      <c r="H17" s="20"/>
      <c r="I17" s="28"/>
      <c r="J17" s="28"/>
      <c r="K17" s="26"/>
      <c r="L17" s="27"/>
      <c r="M17" s="28"/>
      <c r="N17" s="28"/>
      <c r="O17" s="28"/>
      <c r="P17" s="28"/>
      <c r="Q17" s="28"/>
      <c r="R17" s="28"/>
      <c r="S17" s="28"/>
      <c r="T17" s="20"/>
    </row>
    <row r="18" spans="1:20" ht="12.75">
      <c r="A18" s="20" t="s">
        <v>41</v>
      </c>
      <c r="B18" s="10">
        <v>0.5</v>
      </c>
      <c r="C18" s="8">
        <f>(C10*B18)</f>
        <v>81.595</v>
      </c>
      <c r="E18" s="9"/>
      <c r="H18" s="20"/>
      <c r="I18" s="28"/>
      <c r="J18" s="28"/>
      <c r="K18" s="26"/>
      <c r="L18" s="27"/>
      <c r="M18" s="28"/>
      <c r="N18" s="28"/>
      <c r="O18" s="28"/>
      <c r="P18" s="28"/>
      <c r="Q18" s="28"/>
      <c r="R18" s="28"/>
      <c r="S18" s="28"/>
      <c r="T18" s="20"/>
    </row>
    <row r="19" spans="1:20" ht="12.75">
      <c r="A19" s="20" t="s">
        <v>44</v>
      </c>
      <c r="B19" s="16">
        <f>SUM(B14)</f>
        <v>0.3142</v>
      </c>
      <c r="C19" s="8">
        <f>(C18*B19)</f>
        <v>25.637148999999997</v>
      </c>
      <c r="E19" s="9"/>
      <c r="H19" s="20"/>
      <c r="I19" s="28"/>
      <c r="J19" s="28"/>
      <c r="K19" s="26"/>
      <c r="L19" s="27"/>
      <c r="M19" s="28"/>
      <c r="N19" s="28"/>
      <c r="O19" s="28"/>
      <c r="P19" s="28"/>
      <c r="Q19" s="28"/>
      <c r="R19" s="28"/>
      <c r="S19" s="28"/>
      <c r="T19" s="20"/>
    </row>
    <row r="20" spans="1:19" ht="12.75">
      <c r="A20" s="7" t="s">
        <v>11</v>
      </c>
      <c r="B20" s="7"/>
      <c r="C20" s="12">
        <f>SUM(C18:C19)</f>
        <v>107.23214899999999</v>
      </c>
      <c r="E20" s="13">
        <f>(E9+C20)</f>
        <v>507.232149</v>
      </c>
      <c r="F20" s="22">
        <f>(C20/E9)</f>
        <v>0.2680803725</v>
      </c>
      <c r="I20" s="23"/>
      <c r="J20" s="23"/>
      <c r="K20" s="26"/>
      <c r="L20" s="27"/>
      <c r="M20" s="28"/>
      <c r="N20" s="23"/>
      <c r="O20" s="23"/>
      <c r="P20" s="23"/>
      <c r="Q20" s="23"/>
      <c r="R20" s="23"/>
      <c r="S20" s="23"/>
    </row>
    <row r="21" spans="3:19" ht="12.75">
      <c r="C21" s="8"/>
      <c r="E21" s="9"/>
      <c r="I21" s="23"/>
      <c r="J21" s="23"/>
      <c r="K21" s="26"/>
      <c r="L21" s="27"/>
      <c r="M21" s="28"/>
      <c r="N21" s="23"/>
      <c r="O21" s="23"/>
      <c r="P21" s="23"/>
      <c r="Q21" s="23"/>
      <c r="R21" s="23"/>
      <c r="S21" s="23"/>
    </row>
    <row r="22" spans="1:19" ht="12.75">
      <c r="A22" s="7" t="s">
        <v>10</v>
      </c>
      <c r="C22" s="8"/>
      <c r="E22" s="9"/>
      <c r="I22" s="23"/>
      <c r="J22" s="23"/>
      <c r="K22" s="26"/>
      <c r="L22" s="27"/>
      <c r="M22" s="28"/>
      <c r="N22" s="23"/>
      <c r="O22" s="23"/>
      <c r="P22" s="23"/>
      <c r="Q22" s="23"/>
      <c r="R22" s="23"/>
      <c r="S22" s="23"/>
    </row>
    <row r="23" spans="1:19" ht="12.75">
      <c r="A23" s="20" t="s">
        <v>42</v>
      </c>
      <c r="B23" s="10">
        <v>1</v>
      </c>
      <c r="C23" s="8">
        <f>(C10*B23)</f>
        <v>163.19</v>
      </c>
      <c r="E23" s="9"/>
      <c r="I23" s="23"/>
      <c r="J23" s="23"/>
      <c r="K23" s="26"/>
      <c r="L23" s="27"/>
      <c r="M23" s="28"/>
      <c r="N23" s="23"/>
      <c r="O23" s="23"/>
      <c r="P23" s="23"/>
      <c r="Q23" s="23"/>
      <c r="R23" s="23"/>
      <c r="S23" s="23"/>
    </row>
    <row r="24" spans="1:19" ht="12.75">
      <c r="A24" s="20" t="s">
        <v>43</v>
      </c>
      <c r="B24" s="16">
        <f>SUM(B14)</f>
        <v>0.3142</v>
      </c>
      <c r="C24" s="8">
        <f>(C23*B24)</f>
        <v>51.274297999999995</v>
      </c>
      <c r="E24" s="9"/>
      <c r="I24" s="23"/>
      <c r="J24" s="23"/>
      <c r="K24" s="26"/>
      <c r="L24" s="27"/>
      <c r="M24" s="28"/>
      <c r="N24" s="23"/>
      <c r="O24" s="23"/>
      <c r="P24" s="23"/>
      <c r="Q24" s="23"/>
      <c r="R24" s="23"/>
      <c r="S24" s="23"/>
    </row>
    <row r="25" spans="1:19" ht="12.75">
      <c r="A25" s="7" t="s">
        <v>12</v>
      </c>
      <c r="B25" s="7"/>
      <c r="C25" s="12">
        <f>SUM(C23:C24)</f>
        <v>214.46429799999999</v>
      </c>
      <c r="E25" s="13">
        <f>(E9+C25)</f>
        <v>614.464298</v>
      </c>
      <c r="F25" s="22">
        <f>(C25/E9)</f>
        <v>0.536160745</v>
      </c>
      <c r="I25" s="23"/>
      <c r="J25" s="23"/>
      <c r="K25" s="26"/>
      <c r="L25" s="27"/>
      <c r="M25" s="28"/>
      <c r="N25" s="23"/>
      <c r="O25" s="23"/>
      <c r="P25" s="23"/>
      <c r="Q25" s="23"/>
      <c r="R25" s="23"/>
      <c r="S25" s="23"/>
    </row>
    <row r="26" spans="2:6" ht="12.75">
      <c r="B26" s="10"/>
      <c r="C26" s="8"/>
      <c r="E26" s="9"/>
      <c r="F26" s="15"/>
    </row>
    <row r="27" spans="1:6" s="7" customFormat="1" ht="12.75">
      <c r="A27" s="7" t="s">
        <v>23</v>
      </c>
      <c r="F27" s="5"/>
    </row>
    <row r="28" spans="1:6" s="7" customFormat="1" ht="12.75">
      <c r="A28" s="7" t="s">
        <v>24</v>
      </c>
      <c r="F28" s="5"/>
    </row>
    <row r="30" spans="1:7" ht="12.75">
      <c r="A30" s="7"/>
      <c r="B30" s="7"/>
      <c r="D30" s="7"/>
      <c r="E30" s="7"/>
      <c r="F30" s="5"/>
      <c r="G30" s="7"/>
    </row>
    <row r="31" spans="1:7" ht="12.75">
      <c r="A31" s="7"/>
      <c r="B31" s="7"/>
      <c r="D31" s="7"/>
      <c r="E31" s="7"/>
      <c r="F31" s="5"/>
      <c r="G31" s="7"/>
    </row>
    <row r="35" spans="1:8" ht="12.75">
      <c r="A35" s="7"/>
      <c r="B35" s="7"/>
      <c r="D35" s="7"/>
      <c r="E35" s="7"/>
      <c r="F35" s="5"/>
      <c r="G35" s="7"/>
      <c r="H35" s="7"/>
    </row>
    <row r="36" spans="1:8" ht="12.75">
      <c r="A36" s="7"/>
      <c r="B36" s="7"/>
      <c r="D36" s="7"/>
      <c r="E36" s="7"/>
      <c r="F36" s="5"/>
      <c r="G36" s="7"/>
      <c r="H36" s="7"/>
    </row>
    <row r="39" spans="2:3" ht="12.75">
      <c r="B39" s="25"/>
      <c r="C39" s="8"/>
    </row>
    <row r="40" spans="1:3" ht="12.75">
      <c r="A40" s="25"/>
      <c r="B40" s="10"/>
      <c r="C40" s="8"/>
    </row>
    <row r="41" spans="1:3" ht="12.75">
      <c r="A41" s="25"/>
      <c r="B41" s="10"/>
      <c r="C41" s="8"/>
    </row>
    <row r="103" ht="12.75">
      <c r="J103" s="17"/>
    </row>
    <row r="107" spans="7:11" ht="12.75">
      <c r="G107" s="17"/>
      <c r="I107" s="17"/>
      <c r="J107" s="17"/>
      <c r="K107" s="17"/>
    </row>
    <row r="108" ht="12.75">
      <c r="H108" s="17"/>
    </row>
    <row r="109" spans="7:11" ht="12.75">
      <c r="G109" s="17"/>
      <c r="I109" s="17"/>
      <c r="J109" s="17"/>
      <c r="K109" s="17"/>
    </row>
    <row r="113" spans="9:11" ht="12.75">
      <c r="I113" s="17"/>
      <c r="K113" s="17"/>
    </row>
    <row r="115" spans="9:11" ht="12.75">
      <c r="I115" s="17"/>
      <c r="K115" s="17"/>
    </row>
  </sheetData>
  <sheetProtection selectLockedCells="1"/>
  <protectedRanges>
    <protectedRange sqref="E9" name="Omr?de2"/>
    <protectedRange sqref="B32" name="Omr?de1"/>
  </protectedRanges>
  <mergeCells count="2">
    <mergeCell ref="A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1.00390625" style="75" customWidth="1"/>
    <col min="2" max="2" width="11.7109375" style="4" customWidth="1"/>
    <col min="3" max="3" width="11.00390625" style="4" customWidth="1"/>
    <col min="4" max="4" width="9.8515625" style="4" customWidth="1"/>
    <col min="5" max="5" width="9.140625" style="4" customWidth="1"/>
    <col min="6" max="7" width="7.8515625" style="4" customWidth="1"/>
    <col min="8" max="8" width="9.421875" style="4" customWidth="1"/>
    <col min="9" max="9" width="10.00390625" style="4" customWidth="1"/>
    <col min="10" max="11" width="11.7109375" style="4" customWidth="1"/>
    <col min="12" max="12" width="9.140625" style="4" customWidth="1"/>
    <col min="13" max="14" width="11.28125" style="4" hidden="1" customWidth="1"/>
    <col min="15" max="17" width="9.140625" style="4" hidden="1" customWidth="1"/>
    <col min="18" max="22" width="10.8515625" style="4" hidden="1" customWidth="1"/>
    <col min="23" max="16384" width="9.140625" style="4" customWidth="1"/>
  </cols>
  <sheetData>
    <row r="1" spans="1:11" s="33" customFormat="1" ht="23.25">
      <c r="A1" s="29" t="s">
        <v>25</v>
      </c>
      <c r="B1" s="30"/>
      <c r="C1" s="30"/>
      <c r="D1" s="30"/>
      <c r="E1" s="30" t="s">
        <v>26</v>
      </c>
      <c r="F1" s="30"/>
      <c r="G1" s="30"/>
      <c r="H1" s="31" t="s">
        <v>46</v>
      </c>
      <c r="I1" s="32"/>
      <c r="J1" s="107">
        <v>25348</v>
      </c>
      <c r="K1" s="108"/>
    </row>
    <row r="2" spans="1:13" ht="15.75">
      <c r="A2" s="34" t="s">
        <v>48</v>
      </c>
      <c r="B2" s="35"/>
      <c r="C2" s="23"/>
      <c r="D2" s="23"/>
      <c r="E2" s="23"/>
      <c r="F2" s="23"/>
      <c r="G2" s="23"/>
      <c r="H2" s="36" t="s">
        <v>49</v>
      </c>
      <c r="I2" s="37"/>
      <c r="J2" s="109">
        <v>0.022</v>
      </c>
      <c r="K2" s="110"/>
      <c r="M2" s="8">
        <f>SUM(J1*J2)</f>
        <v>557.656</v>
      </c>
    </row>
    <row r="3" spans="1:14" ht="23.25" customHeight="1">
      <c r="A3" s="38" t="s">
        <v>27</v>
      </c>
      <c r="B3" s="39"/>
      <c r="C3" s="40"/>
      <c r="D3" s="40"/>
      <c r="E3" s="40"/>
      <c r="F3" s="40"/>
      <c r="G3" s="40"/>
      <c r="H3" s="41" t="s">
        <v>50</v>
      </c>
      <c r="I3" s="42"/>
      <c r="J3" s="111">
        <f>(B13)</f>
        <v>25905</v>
      </c>
      <c r="K3" s="112"/>
      <c r="M3" s="8">
        <f>SUM(J1+M2+0.65)</f>
        <v>25906.306</v>
      </c>
      <c r="N3" s="8"/>
    </row>
    <row r="4" spans="1:18" ht="21" customHeight="1">
      <c r="A4" s="43"/>
      <c r="B4" s="44"/>
      <c r="C4" s="44"/>
      <c r="D4" s="44"/>
      <c r="E4" s="113" t="s">
        <v>2</v>
      </c>
      <c r="F4" s="114"/>
      <c r="G4" s="114"/>
      <c r="H4" s="114"/>
      <c r="I4" s="115"/>
      <c r="J4" s="44"/>
      <c r="K4" s="44"/>
      <c r="R4" s="121">
        <f>SUM(0+J2)</f>
        <v>0.022</v>
      </c>
    </row>
    <row r="5" spans="1:11" s="47" customFormat="1" ht="30.75" customHeight="1">
      <c r="A5" s="45" t="s">
        <v>28</v>
      </c>
      <c r="B5" s="45" t="s">
        <v>29</v>
      </c>
      <c r="C5" s="45" t="s">
        <v>30</v>
      </c>
      <c r="D5" s="45" t="s">
        <v>31</v>
      </c>
      <c r="E5" s="46" t="s">
        <v>32</v>
      </c>
      <c r="F5" s="116" t="s">
        <v>33</v>
      </c>
      <c r="G5" s="117"/>
      <c r="H5" s="116" t="s">
        <v>34</v>
      </c>
      <c r="I5" s="118"/>
      <c r="J5" s="45" t="s">
        <v>35</v>
      </c>
      <c r="K5" s="45" t="s">
        <v>36</v>
      </c>
    </row>
    <row r="6" spans="1:11" s="55" customFormat="1" ht="15" customHeight="1">
      <c r="A6" s="48"/>
      <c r="B6" s="48"/>
      <c r="C6" s="49" t="s">
        <v>37</v>
      </c>
      <c r="D6" s="49" t="s">
        <v>38</v>
      </c>
      <c r="E6" s="50" t="s">
        <v>39</v>
      </c>
      <c r="F6" s="51">
        <v>0.8</v>
      </c>
      <c r="G6" s="52">
        <v>1.3</v>
      </c>
      <c r="H6" s="51">
        <v>0.8</v>
      </c>
      <c r="I6" s="53">
        <v>1.3</v>
      </c>
      <c r="J6" s="54">
        <v>0.1</v>
      </c>
      <c r="K6" s="54">
        <v>0.12</v>
      </c>
    </row>
    <row r="7" spans="1:25" s="55" customFormat="1" ht="19.5" customHeight="1">
      <c r="A7" s="56">
        <v>115</v>
      </c>
      <c r="B7" s="76">
        <v>29428</v>
      </c>
      <c r="C7" s="76">
        <f>SUM(B7/4.33)</f>
        <v>6796.304849884526</v>
      </c>
      <c r="D7" s="57">
        <f>ROUND(((B7/4.33)/5),3)</f>
        <v>1359.261</v>
      </c>
      <c r="E7" s="58">
        <f>(C7/40)</f>
        <v>169.90762124711316</v>
      </c>
      <c r="F7" s="59">
        <f>(E7*1.8)</f>
        <v>305.83371824480366</v>
      </c>
      <c r="G7" s="58">
        <f aca="true" t="shared" si="0" ref="G7:G14">(E7*2.3)</f>
        <v>390.78752886836025</v>
      </c>
      <c r="H7" s="59">
        <f aca="true" t="shared" si="1" ref="H7:H14">(F7-E7)</f>
        <v>135.9260969976905</v>
      </c>
      <c r="I7" s="60">
        <f aca="true" t="shared" si="2" ref="I7:I14">(G7-E7)</f>
        <v>220.8799076212471</v>
      </c>
      <c r="J7" s="57">
        <f aca="true" t="shared" si="3" ref="J7:J14">(D7*0.1)</f>
        <v>135.9261</v>
      </c>
      <c r="K7" s="57">
        <f aca="true" t="shared" si="4" ref="K7:K14">(D7*0.12)</f>
        <v>163.11131999999998</v>
      </c>
      <c r="M7" s="4">
        <v>28794</v>
      </c>
      <c r="N7" s="98">
        <f>SUM(M7*$R$4)</f>
        <v>633.468</v>
      </c>
      <c r="O7" s="98">
        <f>ROUND((M7+N7),0)</f>
        <v>29427</v>
      </c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55" customFormat="1" ht="19.5" customHeight="1">
      <c r="A8" s="56">
        <v>113</v>
      </c>
      <c r="B8" s="76">
        <v>28959</v>
      </c>
      <c r="C8" s="76">
        <f aca="true" t="shared" si="5" ref="C8:C14">SUM(B8/4.33)</f>
        <v>6687.990762124711</v>
      </c>
      <c r="D8" s="57">
        <f aca="true" t="shared" si="6" ref="D8:D14">(C8/5)</f>
        <v>1337.5981524249423</v>
      </c>
      <c r="E8" s="58">
        <f aca="true" t="shared" si="7" ref="E8:E14">(C8/40)</f>
        <v>167.1997690531178</v>
      </c>
      <c r="F8" s="59">
        <f aca="true" t="shared" si="8" ref="F8:F14">(E8*1.8)</f>
        <v>300.95958429561205</v>
      </c>
      <c r="G8" s="58">
        <f t="shared" si="0"/>
        <v>384.5594688221709</v>
      </c>
      <c r="H8" s="59">
        <f t="shared" si="1"/>
        <v>133.75981524249426</v>
      </c>
      <c r="I8" s="60">
        <f t="shared" si="2"/>
        <v>217.35969976905312</v>
      </c>
      <c r="J8" s="57">
        <f t="shared" si="3"/>
        <v>133.75981524249423</v>
      </c>
      <c r="K8" s="57">
        <f t="shared" si="4"/>
        <v>160.51177829099308</v>
      </c>
      <c r="M8" s="4">
        <v>28335</v>
      </c>
      <c r="N8" s="98">
        <f>SUM(M8*$R$4)</f>
        <v>623.37</v>
      </c>
      <c r="O8" s="98">
        <f>(M8+N8)</f>
        <v>28958.37</v>
      </c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55" customFormat="1" ht="19.5" customHeight="1">
      <c r="A9" s="56">
        <v>111</v>
      </c>
      <c r="B9" s="76">
        <v>28488</v>
      </c>
      <c r="C9" s="76">
        <f t="shared" si="5"/>
        <v>6579.214780600461</v>
      </c>
      <c r="D9" s="57">
        <f t="shared" si="6"/>
        <v>1315.8429561200924</v>
      </c>
      <c r="E9" s="58">
        <f t="shared" si="7"/>
        <v>164.48036951501155</v>
      </c>
      <c r="F9" s="59">
        <f t="shared" si="8"/>
        <v>296.0646651270208</v>
      </c>
      <c r="G9" s="58">
        <f t="shared" si="0"/>
        <v>378.3048498845265</v>
      </c>
      <c r="H9" s="59">
        <f t="shared" si="1"/>
        <v>131.58429561200927</v>
      </c>
      <c r="I9" s="60">
        <f t="shared" si="2"/>
        <v>213.82448036951496</v>
      </c>
      <c r="J9" s="57">
        <f t="shared" si="3"/>
        <v>131.58429561200924</v>
      </c>
      <c r="K9" s="57">
        <f t="shared" si="4"/>
        <v>157.90115473441108</v>
      </c>
      <c r="M9" s="4">
        <v>27875</v>
      </c>
      <c r="N9" s="98">
        <f aca="true" t="shared" si="9" ref="N8:N14">SUM(M9*$R$4)</f>
        <v>613.25</v>
      </c>
      <c r="O9" s="98">
        <f aca="true" t="shared" si="10" ref="O7:O13">(M9+N9)</f>
        <v>28488.25</v>
      </c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55" customFormat="1" ht="19.5" customHeight="1">
      <c r="A10" s="56">
        <v>109</v>
      </c>
      <c r="B10" s="76">
        <v>28019</v>
      </c>
      <c r="C10" s="76">
        <f t="shared" si="5"/>
        <v>6470.900692840646</v>
      </c>
      <c r="D10" s="57">
        <f t="shared" si="6"/>
        <v>1294.1801385681292</v>
      </c>
      <c r="E10" s="58">
        <f t="shared" si="7"/>
        <v>161.77251732101615</v>
      </c>
      <c r="F10" s="59">
        <f t="shared" si="8"/>
        <v>291.1905311778291</v>
      </c>
      <c r="G10" s="58">
        <f t="shared" si="0"/>
        <v>372.0767898383371</v>
      </c>
      <c r="H10" s="59">
        <f t="shared" si="1"/>
        <v>129.41801385681293</v>
      </c>
      <c r="I10" s="60">
        <f t="shared" si="2"/>
        <v>210.30427251732095</v>
      </c>
      <c r="J10" s="57">
        <f t="shared" si="3"/>
        <v>129.41801385681293</v>
      </c>
      <c r="K10" s="57">
        <f t="shared" si="4"/>
        <v>155.3016166281755</v>
      </c>
      <c r="M10" s="4">
        <v>27416</v>
      </c>
      <c r="N10" s="98">
        <f t="shared" si="9"/>
        <v>603.1519999999999</v>
      </c>
      <c r="O10" s="98">
        <f t="shared" si="10"/>
        <v>28019.152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55" customFormat="1" ht="19.5" customHeight="1">
      <c r="A11" s="56">
        <v>106</v>
      </c>
      <c r="B11" s="76">
        <v>27314</v>
      </c>
      <c r="C11" s="76">
        <f t="shared" si="5"/>
        <v>6308.083140877598</v>
      </c>
      <c r="D11" s="57">
        <f t="shared" si="6"/>
        <v>1261.6166281755197</v>
      </c>
      <c r="E11" s="58">
        <f t="shared" si="7"/>
        <v>157.70207852193997</v>
      </c>
      <c r="F11" s="59">
        <f t="shared" si="8"/>
        <v>283.8637413394919</v>
      </c>
      <c r="G11" s="58">
        <f t="shared" si="0"/>
        <v>362.7147806004619</v>
      </c>
      <c r="H11" s="59">
        <f t="shared" si="1"/>
        <v>126.16166281755196</v>
      </c>
      <c r="I11" s="60">
        <f t="shared" si="2"/>
        <v>205.01270207852193</v>
      </c>
      <c r="J11" s="57">
        <f t="shared" si="3"/>
        <v>126.16166281755198</v>
      </c>
      <c r="K11" s="57">
        <f t="shared" si="4"/>
        <v>151.39399538106235</v>
      </c>
      <c r="M11" s="4">
        <v>26726</v>
      </c>
      <c r="N11" s="98">
        <f t="shared" si="9"/>
        <v>587.972</v>
      </c>
      <c r="O11" s="98">
        <f t="shared" si="10"/>
        <v>27313.972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55" customFormat="1" ht="19.5" customHeight="1">
      <c r="A12" s="56">
        <v>103</v>
      </c>
      <c r="B12" s="76">
        <v>26610</v>
      </c>
      <c r="C12" s="76">
        <f t="shared" si="5"/>
        <v>6145.496535796767</v>
      </c>
      <c r="D12" s="57">
        <f t="shared" si="6"/>
        <v>1229.0993071593534</v>
      </c>
      <c r="E12" s="58">
        <f t="shared" si="7"/>
        <v>153.63741339491918</v>
      </c>
      <c r="F12" s="59">
        <f t="shared" si="8"/>
        <v>276.5473441108545</v>
      </c>
      <c r="G12" s="58">
        <f t="shared" si="0"/>
        <v>353.36605080831407</v>
      </c>
      <c r="H12" s="59">
        <f t="shared" si="1"/>
        <v>122.90993071593533</v>
      </c>
      <c r="I12" s="60">
        <f t="shared" si="2"/>
        <v>199.7286374133949</v>
      </c>
      <c r="J12" s="57">
        <f t="shared" si="3"/>
        <v>122.90993071593535</v>
      </c>
      <c r="K12" s="57">
        <f t="shared" si="4"/>
        <v>147.4919168591224</v>
      </c>
      <c r="M12" s="4">
        <v>26038</v>
      </c>
      <c r="N12" s="98">
        <f t="shared" si="9"/>
        <v>572.836</v>
      </c>
      <c r="O12" s="98">
        <f t="shared" si="10"/>
        <v>26610.836</v>
      </c>
      <c r="P12" s="98"/>
      <c r="Q12" s="98"/>
      <c r="R12" s="100">
        <f>SUM(J1-2270)</f>
        <v>23078</v>
      </c>
      <c r="S12" s="100">
        <f>SUM(R12*1.1)</f>
        <v>25385.800000000003</v>
      </c>
      <c r="T12" s="100">
        <f>SUM(S12+2270)</f>
        <v>27655.800000000003</v>
      </c>
      <c r="U12" s="100">
        <f>SUM(T12*J2)</f>
        <v>608.4276</v>
      </c>
      <c r="V12" s="100">
        <f>SUM(T12:U12)</f>
        <v>28264.227600000002</v>
      </c>
      <c r="W12" s="98"/>
      <c r="X12" s="98"/>
      <c r="Y12" s="98"/>
    </row>
    <row r="13" spans="1:25" s="55" customFormat="1" ht="19.5" customHeight="1">
      <c r="A13" s="56">
        <v>100</v>
      </c>
      <c r="B13" s="76">
        <v>25905</v>
      </c>
      <c r="C13" s="76">
        <f t="shared" si="5"/>
        <v>5982.678983833718</v>
      </c>
      <c r="D13" s="57">
        <f t="shared" si="6"/>
        <v>1196.5357967667437</v>
      </c>
      <c r="E13" s="58">
        <f t="shared" si="7"/>
        <v>149.56697459584296</v>
      </c>
      <c r="F13" s="59">
        <f t="shared" si="8"/>
        <v>269.22055427251735</v>
      </c>
      <c r="G13" s="58">
        <f t="shared" si="0"/>
        <v>344.0040415704388</v>
      </c>
      <c r="H13" s="59">
        <f t="shared" si="1"/>
        <v>119.65357967667438</v>
      </c>
      <c r="I13" s="60">
        <f t="shared" si="2"/>
        <v>194.43706697459584</v>
      </c>
      <c r="J13" s="57">
        <f t="shared" si="3"/>
        <v>119.65357967667438</v>
      </c>
      <c r="K13" s="57">
        <f t="shared" si="4"/>
        <v>143.58429561200924</v>
      </c>
      <c r="M13" s="4">
        <v>25348</v>
      </c>
      <c r="N13" s="98">
        <f t="shared" si="9"/>
        <v>557.656</v>
      </c>
      <c r="O13" s="98">
        <f t="shared" si="10"/>
        <v>25905.656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55" customFormat="1" ht="19.5" customHeight="1">
      <c r="A14" s="61">
        <v>90</v>
      </c>
      <c r="B14" s="80">
        <v>23626</v>
      </c>
      <c r="C14" s="80">
        <f t="shared" si="5"/>
        <v>5456.35103926097</v>
      </c>
      <c r="D14" s="62">
        <f t="shared" si="6"/>
        <v>1091.2702078521938</v>
      </c>
      <c r="E14" s="63">
        <f t="shared" si="7"/>
        <v>136.40877598152423</v>
      </c>
      <c r="F14" s="64">
        <f t="shared" si="8"/>
        <v>245.53579676674363</v>
      </c>
      <c r="G14" s="65">
        <f t="shared" si="0"/>
        <v>313.7401847575057</v>
      </c>
      <c r="H14" s="64">
        <f t="shared" si="1"/>
        <v>109.1270207852194</v>
      </c>
      <c r="I14" s="66">
        <f t="shared" si="2"/>
        <v>177.33140877598146</v>
      </c>
      <c r="J14" s="62">
        <f t="shared" si="3"/>
        <v>109.12702078521939</v>
      </c>
      <c r="K14" s="62">
        <f t="shared" si="4"/>
        <v>130.95242494226326</v>
      </c>
      <c r="M14" s="4">
        <v>23095</v>
      </c>
      <c r="N14" s="98">
        <f t="shared" si="9"/>
        <v>508.09</v>
      </c>
      <c r="O14" s="98">
        <f>SUM((M14+N14)*1.001)</f>
        <v>23626.693089999997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4" s="47" customFormat="1" ht="12.75">
      <c r="A15" s="67"/>
      <c r="B15" s="68"/>
      <c r="C15" s="68"/>
      <c r="D15" s="68"/>
      <c r="E15" s="69"/>
      <c r="F15" s="69"/>
      <c r="G15" s="69"/>
      <c r="H15" s="69"/>
      <c r="I15" s="69"/>
      <c r="J15" s="69"/>
      <c r="K15" s="70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s="55" customFormat="1" ht="18" customHeight="1">
      <c r="A16" s="71" t="s">
        <v>40</v>
      </c>
      <c r="B16" s="72"/>
      <c r="C16" s="72"/>
      <c r="D16" s="72"/>
      <c r="E16" s="72"/>
      <c r="F16" s="72"/>
      <c r="G16" s="73">
        <v>23</v>
      </c>
      <c r="H16" s="72"/>
      <c r="I16" s="72"/>
      <c r="J16" s="72"/>
      <c r="K16" s="74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3:24" ht="13.5" customHeight="1"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</sheetData>
  <sheetProtection selectLockedCells="1" selectUnlockedCells="1"/>
  <mergeCells count="6">
    <mergeCell ref="J1:K1"/>
    <mergeCell ref="J2:K2"/>
    <mergeCell ref="J3:K3"/>
    <mergeCell ref="E4:I4"/>
    <mergeCell ref="F5:G5"/>
    <mergeCell ref="H5:I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3" width="12.28125" style="0" bestFit="1" customWidth="1"/>
    <col min="10" max="11" width="11.57421875" style="0" customWidth="1"/>
  </cols>
  <sheetData>
    <row r="2" spans="1:11" ht="15">
      <c r="A2" s="81"/>
      <c r="B2" s="82"/>
      <c r="C2" s="82"/>
      <c r="D2" s="82"/>
      <c r="E2" s="113" t="s">
        <v>2</v>
      </c>
      <c r="F2" s="114"/>
      <c r="G2" s="114"/>
      <c r="H2" s="114"/>
      <c r="I2" s="115"/>
      <c r="J2" s="82"/>
      <c r="K2" s="82"/>
    </row>
    <row r="3" spans="1:11" ht="30">
      <c r="A3" s="45" t="s">
        <v>28</v>
      </c>
      <c r="B3" s="45" t="s">
        <v>29</v>
      </c>
      <c r="C3" s="45" t="s">
        <v>30</v>
      </c>
      <c r="D3" s="45" t="s">
        <v>31</v>
      </c>
      <c r="E3" s="79" t="s">
        <v>32</v>
      </c>
      <c r="F3" s="116" t="s">
        <v>33</v>
      </c>
      <c r="G3" s="117"/>
      <c r="H3" s="116" t="s">
        <v>34</v>
      </c>
      <c r="I3" s="118"/>
      <c r="J3" s="45" t="s">
        <v>35</v>
      </c>
      <c r="K3" s="45" t="s">
        <v>36</v>
      </c>
    </row>
    <row r="4" spans="1:11" ht="12.75">
      <c r="A4" s="83"/>
      <c r="B4" s="83"/>
      <c r="C4" s="84" t="s">
        <v>37</v>
      </c>
      <c r="D4" s="84" t="s">
        <v>38</v>
      </c>
      <c r="E4" s="85" t="s">
        <v>39</v>
      </c>
      <c r="F4" s="86">
        <v>0.8</v>
      </c>
      <c r="G4" s="87">
        <v>1.3</v>
      </c>
      <c r="H4" s="86">
        <v>0.8</v>
      </c>
      <c r="I4" s="88">
        <v>1.3</v>
      </c>
      <c r="J4" s="89">
        <v>0.1</v>
      </c>
      <c r="K4" s="89">
        <v>0.12</v>
      </c>
    </row>
    <row r="5" spans="1:11" ht="12.75">
      <c r="A5" s="90">
        <v>110</v>
      </c>
      <c r="B5" s="91">
        <f>SUM('Lönetabell 2019'!V12)</f>
        <v>28264.227600000002</v>
      </c>
      <c r="C5" s="90">
        <f>ROUND(B5/4.33,0)</f>
        <v>6528</v>
      </c>
      <c r="D5" s="92">
        <f>(C5/5)</f>
        <v>1305.6</v>
      </c>
      <c r="E5" s="92">
        <f>(C5/40)</f>
        <v>163.2</v>
      </c>
      <c r="F5" s="92">
        <f>(E5*1.8)</f>
        <v>293.76</v>
      </c>
      <c r="G5" s="92">
        <f>(E5*2.3)</f>
        <v>375.35999999999996</v>
      </c>
      <c r="H5" s="92">
        <f>(F5-E5)</f>
        <v>130.56</v>
      </c>
      <c r="I5" s="92">
        <f>(G5-E5)</f>
        <v>212.15999999999997</v>
      </c>
      <c r="J5" s="92">
        <f>(D5*0.1)</f>
        <v>130.56</v>
      </c>
      <c r="K5" s="92">
        <f>(D5*0.12)</f>
        <v>156.672</v>
      </c>
    </row>
    <row r="7" spans="2:4" ht="12.75">
      <c r="B7" s="93"/>
      <c r="D7" s="93">
        <f>SUM('Lönetabell 2019'!J2:K2)</f>
        <v>0.022</v>
      </c>
    </row>
    <row r="8" spans="2:4" ht="12.75">
      <c r="B8" s="93"/>
      <c r="C8" s="93"/>
      <c r="D8" s="93"/>
    </row>
    <row r="9" spans="2:4" ht="12.75">
      <c r="B9" s="93"/>
      <c r="C9" s="93"/>
      <c r="D9" s="93"/>
    </row>
    <row r="10" spans="2:4" ht="12.75">
      <c r="B10" s="93"/>
      <c r="C10" s="93"/>
      <c r="D10" s="93"/>
    </row>
    <row r="11" spans="2:4" ht="12.75">
      <c r="B11" s="93"/>
      <c r="C11" s="93"/>
      <c r="D11" s="93"/>
    </row>
  </sheetData>
  <sheetProtection/>
  <mergeCells count="3">
    <mergeCell ref="E2:I2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Lindén</dc:creator>
  <cp:keywords/>
  <dc:description/>
  <cp:lastModifiedBy>Johan Schön</cp:lastModifiedBy>
  <cp:lastPrinted>2017-06-02T15:24:48Z</cp:lastPrinted>
  <dcterms:created xsi:type="dcterms:W3CDTF">1998-11-05T10:35:49Z</dcterms:created>
  <dcterms:modified xsi:type="dcterms:W3CDTF">2019-04-01T11:45:01Z</dcterms:modified>
  <cp:category/>
  <cp:version/>
  <cp:contentType/>
  <cp:contentStatus/>
</cp:coreProperties>
</file>